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rivev-my.sharepoint.com/personal/cassiani_saritzoglou_braunkohle_de/Documents/Statistik Datenbank/Übernahmeordner/Website/fertige Tabellen/"/>
    </mc:Choice>
  </mc:AlternateContent>
  <xr:revisionPtr revIDLastSave="1" documentId="8_{DAB63EA0-CB2C-4B80-B1E0-422DD29630D2}" xr6:coauthVersionLast="47" xr6:coauthVersionMax="47" xr10:uidLastSave="{3D7A7EAB-D063-41B7-9641-ACF4E412C789}"/>
  <bookViews>
    <workbookView xWindow="28680" yWindow="-2400" windowWidth="29040" windowHeight="15720" xr2:uid="{5BACFBED-E59E-4195-864E-CCC4E2E6A1DC}"/>
  </bookViews>
  <sheets>
    <sheet name="Braunkohle" sheetId="5" r:id="rId1"/>
    <sheet name="Briketts" sheetId="3" r:id="rId2"/>
    <sheet name="Koks" sheetId="1" r:id="rId3"/>
    <sheet name="Staub-, Trocken-, WBK" sheetId="4" r:id="rId4"/>
  </sheets>
  <definedNames>
    <definedName name="_xlnm.Print_Area" localSheetId="0">Braunkohle!$A$1:$J$73</definedName>
    <definedName name="_xlnm.Print_Area" localSheetId="1">Briketts!$A$1:$J$92</definedName>
    <definedName name="_xlnm.Print_Area" localSheetId="2">Koks!$A$1:$J$90</definedName>
    <definedName name="_xlnm.Print_Area" localSheetId="3">'Staub-, Trocken-, WBK'!$A$1:$J$73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4" l="1"/>
  <c r="F68" i="4"/>
  <c r="B68" i="4"/>
  <c r="J68" i="4" s="1"/>
  <c r="H68" i="4"/>
  <c r="G82" i="1"/>
  <c r="I82" i="1" s="1"/>
  <c r="J82" i="1"/>
  <c r="J84" i="3"/>
  <c r="I84" i="3"/>
  <c r="H68" i="5"/>
  <c r="J68" i="5"/>
  <c r="I76" i="3"/>
  <c r="I63" i="3"/>
  <c r="H67" i="4"/>
  <c r="J67" i="4" s="1"/>
  <c r="G81" i="1"/>
  <c r="I81" i="1" s="1"/>
  <c r="J81" i="1"/>
  <c r="J83" i="3"/>
  <c r="G83" i="3"/>
  <c r="I83" i="3"/>
  <c r="J67" i="5"/>
  <c r="H66" i="4"/>
  <c r="J66" i="4" s="1"/>
  <c r="G82" i="3"/>
  <c r="I82" i="3" s="1"/>
  <c r="H66" i="5"/>
  <c r="J66" i="5" s="1"/>
  <c r="G80" i="1"/>
  <c r="I80" i="1" s="1"/>
  <c r="J80" i="1"/>
  <c r="J82" i="3"/>
  <c r="J65" i="5"/>
  <c r="J64" i="5"/>
  <c r="H63" i="5"/>
  <c r="J63" i="5" s="1"/>
  <c r="H62" i="5"/>
  <c r="J62" i="5"/>
  <c r="H61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24" i="5" s="1"/>
  <c r="J43" i="5"/>
  <c r="J42" i="5"/>
  <c r="J41" i="5"/>
  <c r="J21" i="5" s="1"/>
  <c r="J40" i="5"/>
  <c r="J39" i="5"/>
  <c r="J19" i="5" s="1"/>
  <c r="J36" i="5"/>
  <c r="J26" i="5" s="1"/>
  <c r="J35" i="5"/>
  <c r="J25" i="5" s="1"/>
  <c r="J34" i="5"/>
  <c r="J33" i="5"/>
  <c r="J32" i="5"/>
  <c r="J31" i="5"/>
  <c r="J30" i="5"/>
  <c r="J20" i="5" s="1"/>
  <c r="J29" i="5"/>
  <c r="I26" i="5"/>
  <c r="H26" i="5"/>
  <c r="G26" i="5"/>
  <c r="F26" i="5"/>
  <c r="E26" i="5"/>
  <c r="D26" i="5"/>
  <c r="C26" i="5"/>
  <c r="B26" i="5"/>
  <c r="I25" i="5"/>
  <c r="H25" i="5"/>
  <c r="G25" i="5"/>
  <c r="F25" i="5"/>
  <c r="E25" i="5"/>
  <c r="D25" i="5"/>
  <c r="C25" i="5"/>
  <c r="B25" i="5"/>
  <c r="I24" i="5"/>
  <c r="H24" i="5"/>
  <c r="G24" i="5"/>
  <c r="F24" i="5"/>
  <c r="E24" i="5"/>
  <c r="D24" i="5"/>
  <c r="C24" i="5"/>
  <c r="B24" i="5"/>
  <c r="I23" i="5"/>
  <c r="H23" i="5"/>
  <c r="G23" i="5"/>
  <c r="F23" i="5"/>
  <c r="E23" i="5"/>
  <c r="D23" i="5"/>
  <c r="C23" i="5"/>
  <c r="B23" i="5"/>
  <c r="I22" i="5"/>
  <c r="H22" i="5"/>
  <c r="G22" i="5"/>
  <c r="F22" i="5"/>
  <c r="E22" i="5"/>
  <c r="D22" i="5"/>
  <c r="C22" i="5"/>
  <c r="B22" i="5"/>
  <c r="I21" i="5"/>
  <c r="H21" i="5"/>
  <c r="G21" i="5"/>
  <c r="F21" i="5"/>
  <c r="E21" i="5"/>
  <c r="D21" i="5"/>
  <c r="C21" i="5"/>
  <c r="B21" i="5"/>
  <c r="I20" i="5"/>
  <c r="H20" i="5"/>
  <c r="G20" i="5"/>
  <c r="F20" i="5"/>
  <c r="E20" i="5"/>
  <c r="D20" i="5"/>
  <c r="C20" i="5"/>
  <c r="B20" i="5"/>
  <c r="I19" i="5"/>
  <c r="H19" i="5"/>
  <c r="G19" i="5"/>
  <c r="F19" i="5"/>
  <c r="E19" i="5"/>
  <c r="D19" i="5"/>
  <c r="C19" i="5"/>
  <c r="B19" i="5"/>
  <c r="J18" i="5"/>
  <c r="I18" i="5"/>
  <c r="H18" i="5"/>
  <c r="G18" i="5"/>
  <c r="F18" i="5"/>
  <c r="E18" i="5"/>
  <c r="D18" i="5"/>
  <c r="C18" i="5"/>
  <c r="B18" i="5"/>
  <c r="H65" i="4"/>
  <c r="J65" i="4" s="1"/>
  <c r="F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G60" i="4"/>
  <c r="F60" i="4"/>
  <c r="E60" i="4"/>
  <c r="D60" i="4"/>
  <c r="C60" i="4"/>
  <c r="B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36" i="4"/>
  <c r="J35" i="4"/>
  <c r="J34" i="4"/>
  <c r="J24" i="4" s="1"/>
  <c r="J33" i="4"/>
  <c r="J23" i="4"/>
  <c r="J32" i="4"/>
  <c r="J22" i="4" s="1"/>
  <c r="J31" i="4"/>
  <c r="J21" i="4" s="1"/>
  <c r="J30" i="4"/>
  <c r="J29" i="4"/>
  <c r="J19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I22" i="4"/>
  <c r="H22" i="4"/>
  <c r="G22" i="4"/>
  <c r="F22" i="4"/>
  <c r="D22" i="4"/>
  <c r="C22" i="4"/>
  <c r="B22" i="4"/>
  <c r="I21" i="4"/>
  <c r="H21" i="4"/>
  <c r="G21" i="4"/>
  <c r="F21" i="4"/>
  <c r="D21" i="4"/>
  <c r="C21" i="4"/>
  <c r="B21" i="4"/>
  <c r="I20" i="4"/>
  <c r="H20" i="4"/>
  <c r="G20" i="4"/>
  <c r="F20" i="4"/>
  <c r="D20" i="4"/>
  <c r="C20" i="4"/>
  <c r="B20" i="4"/>
  <c r="I19" i="4"/>
  <c r="H19" i="4"/>
  <c r="G19" i="4"/>
  <c r="F19" i="4"/>
  <c r="D19" i="4"/>
  <c r="C19" i="4"/>
  <c r="B19" i="4"/>
  <c r="J18" i="4"/>
  <c r="I18" i="4"/>
  <c r="H18" i="4"/>
  <c r="G18" i="4"/>
  <c r="F18" i="4"/>
  <c r="D18" i="4"/>
  <c r="B18" i="4"/>
  <c r="J81" i="3"/>
  <c r="G81" i="3"/>
  <c r="I81" i="3" s="1"/>
  <c r="J80" i="3"/>
  <c r="G80" i="3"/>
  <c r="I80" i="3" s="1"/>
  <c r="J79" i="3"/>
  <c r="G79" i="3"/>
  <c r="I79" i="3"/>
  <c r="J78" i="3"/>
  <c r="G78" i="3"/>
  <c r="I78" i="3" s="1"/>
  <c r="J77" i="3"/>
  <c r="G77" i="3"/>
  <c r="I77" i="3" s="1"/>
  <c r="J76" i="3"/>
  <c r="J75" i="3"/>
  <c r="I75" i="3"/>
  <c r="I74" i="3"/>
  <c r="I73" i="3"/>
  <c r="I72" i="3"/>
  <c r="I71" i="3"/>
  <c r="I70" i="3"/>
  <c r="I69" i="3"/>
  <c r="I68" i="3"/>
  <c r="I67" i="3"/>
  <c r="I66" i="3"/>
  <c r="I65" i="3"/>
  <c r="I64" i="3"/>
  <c r="I62" i="3"/>
  <c r="I60" i="3"/>
  <c r="I59" i="3"/>
  <c r="I58" i="3"/>
  <c r="I57" i="3"/>
  <c r="I56" i="3"/>
  <c r="I30" i="3"/>
  <c r="I55" i="3"/>
  <c r="I53" i="3"/>
  <c r="I49" i="3"/>
  <c r="I36" i="3" s="1"/>
  <c r="I48" i="3"/>
  <c r="I35" i="3"/>
  <c r="I47" i="3"/>
  <c r="I34" i="3" s="1"/>
  <c r="I46" i="3"/>
  <c r="I45" i="3"/>
  <c r="I44" i="3"/>
  <c r="I31" i="3"/>
  <c r="I43" i="3"/>
  <c r="I42" i="3"/>
  <c r="I29" i="3"/>
  <c r="I40" i="3"/>
  <c r="I27" i="3" s="1"/>
  <c r="J36" i="3"/>
  <c r="H36" i="3"/>
  <c r="G36" i="3"/>
  <c r="F36" i="3"/>
  <c r="E36" i="3"/>
  <c r="D36" i="3"/>
  <c r="C36" i="3"/>
  <c r="B36" i="3"/>
  <c r="J35" i="3"/>
  <c r="H35" i="3"/>
  <c r="G35" i="3"/>
  <c r="F35" i="3"/>
  <c r="E35" i="3"/>
  <c r="D35" i="3"/>
  <c r="C35" i="3"/>
  <c r="B35" i="3"/>
  <c r="J34" i="3"/>
  <c r="H34" i="3"/>
  <c r="G34" i="3"/>
  <c r="F34" i="3"/>
  <c r="E34" i="3"/>
  <c r="D34" i="3"/>
  <c r="C34" i="3"/>
  <c r="B34" i="3"/>
  <c r="J33" i="3"/>
  <c r="H33" i="3"/>
  <c r="G33" i="3"/>
  <c r="F33" i="3"/>
  <c r="E33" i="3"/>
  <c r="D33" i="3"/>
  <c r="C33" i="3"/>
  <c r="B33" i="3"/>
  <c r="J32" i="3"/>
  <c r="H32" i="3"/>
  <c r="G32" i="3"/>
  <c r="F32" i="3"/>
  <c r="E32" i="3"/>
  <c r="D32" i="3"/>
  <c r="C32" i="3"/>
  <c r="B32" i="3"/>
  <c r="J31" i="3"/>
  <c r="H31" i="3"/>
  <c r="G31" i="3"/>
  <c r="F31" i="3"/>
  <c r="E31" i="3"/>
  <c r="D31" i="3"/>
  <c r="C31" i="3"/>
  <c r="B31" i="3"/>
  <c r="J30" i="3"/>
  <c r="H30" i="3"/>
  <c r="G30" i="3"/>
  <c r="F30" i="3"/>
  <c r="E30" i="3"/>
  <c r="D30" i="3"/>
  <c r="C30" i="3"/>
  <c r="B30" i="3"/>
  <c r="J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7" i="3"/>
  <c r="H27" i="3"/>
  <c r="G27" i="3"/>
  <c r="F27" i="3"/>
  <c r="E27" i="3"/>
  <c r="D27" i="3"/>
  <c r="C27" i="3"/>
  <c r="B27" i="3"/>
  <c r="J26" i="3"/>
  <c r="I26" i="3"/>
  <c r="H26" i="3"/>
  <c r="G26" i="3"/>
  <c r="F26" i="3"/>
  <c r="E26" i="3"/>
  <c r="D26" i="3"/>
  <c r="C26" i="3"/>
  <c r="B26" i="3"/>
  <c r="J25" i="3"/>
  <c r="I25" i="3"/>
  <c r="H25" i="3"/>
  <c r="G25" i="3"/>
  <c r="F25" i="3"/>
  <c r="E25" i="3"/>
  <c r="D25" i="3"/>
  <c r="C25" i="3"/>
  <c r="B25" i="3"/>
  <c r="G79" i="1"/>
  <c r="I79" i="1" s="1"/>
  <c r="J79" i="1"/>
  <c r="G78" i="1"/>
  <c r="I78" i="1" s="1"/>
  <c r="J78" i="1"/>
  <c r="G77" i="1"/>
  <c r="I77" i="1" s="1"/>
  <c r="J77" i="1"/>
  <c r="G75" i="1"/>
  <c r="I75" i="1" s="1"/>
  <c r="G76" i="1"/>
  <c r="I76" i="1"/>
  <c r="J76" i="1"/>
  <c r="J75" i="1"/>
  <c r="I74" i="1"/>
  <c r="J74" i="1"/>
  <c r="J72" i="1"/>
  <c r="I72" i="1"/>
  <c r="J73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I59" i="1"/>
  <c r="J59" i="1"/>
  <c r="I46" i="1"/>
  <c r="J34" i="1"/>
  <c r="E34" i="1"/>
  <c r="J33" i="1"/>
  <c r="I45" i="1"/>
  <c r="I33" i="1"/>
  <c r="H33" i="1"/>
  <c r="G33" i="1"/>
  <c r="F33" i="1"/>
  <c r="E33" i="1"/>
  <c r="D33" i="1"/>
  <c r="C33" i="1"/>
  <c r="B33" i="1"/>
  <c r="J32" i="1"/>
  <c r="I44" i="1"/>
  <c r="I32" i="1" s="1"/>
  <c r="H32" i="1"/>
  <c r="G32" i="1"/>
  <c r="F32" i="1"/>
  <c r="E32" i="1"/>
  <c r="D32" i="1"/>
  <c r="C32" i="1"/>
  <c r="B32" i="1"/>
  <c r="I43" i="1"/>
  <c r="I31" i="1" s="1"/>
  <c r="J31" i="1"/>
  <c r="H31" i="1"/>
  <c r="G31" i="1"/>
  <c r="F31" i="1"/>
  <c r="E31" i="1"/>
  <c r="D31" i="1"/>
  <c r="C31" i="1"/>
  <c r="B31" i="1"/>
  <c r="J30" i="1"/>
  <c r="I42" i="1"/>
  <c r="I30" i="1" s="1"/>
  <c r="H30" i="1"/>
  <c r="G30" i="1"/>
  <c r="F30" i="1"/>
  <c r="E30" i="1"/>
  <c r="D30" i="1"/>
  <c r="C30" i="1"/>
  <c r="B30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39" i="1"/>
  <c r="I51" i="1"/>
  <c r="I27" i="1" s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41" i="1"/>
  <c r="I29" i="1" s="1"/>
  <c r="J29" i="1"/>
  <c r="I73" i="1"/>
  <c r="J22" i="5"/>
  <c r="J62" i="4"/>
  <c r="I32" i="3"/>
  <c r="J64" i="4" l="1"/>
  <c r="J63" i="4"/>
  <c r="J26" i="4"/>
  <c r="J60" i="4"/>
  <c r="J61" i="4"/>
  <c r="J25" i="4"/>
  <c r="I33" i="3"/>
  <c r="J23" i="5"/>
</calcChain>
</file>

<file path=xl/sharedStrings.xml><?xml version="1.0" encoding="utf-8"?>
<sst xmlns="http://schemas.openxmlformats.org/spreadsheetml/2006/main" count="155" uniqueCount="60">
  <si>
    <t>Statistik der Kohlenwirtschaft e.V.</t>
  </si>
  <si>
    <t>Absatz von Braunkohle aus inländischem Aufkommen</t>
  </si>
  <si>
    <t xml:space="preserve"> - 1 000 t - </t>
  </si>
  <si>
    <t>Jahr</t>
  </si>
  <si>
    <t>Allgemeine</t>
  </si>
  <si>
    <t>Glas,</t>
  </si>
  <si>
    <t>Chemische</t>
  </si>
  <si>
    <t>Steine</t>
  </si>
  <si>
    <t>Zellstoff</t>
  </si>
  <si>
    <t>Ernährungs-/</t>
  </si>
  <si>
    <t>Sonst.</t>
  </si>
  <si>
    <t>Gesamt-</t>
  </si>
  <si>
    <t>Elektrizitäts-</t>
  </si>
  <si>
    <t>Keramik,</t>
  </si>
  <si>
    <t>Industrie</t>
  </si>
  <si>
    <t>und</t>
  </si>
  <si>
    <t>Papier</t>
  </si>
  <si>
    <t>Genußmittel</t>
  </si>
  <si>
    <t>Inlands-</t>
  </si>
  <si>
    <t>Ausfuhr</t>
  </si>
  <si>
    <t>absatz</t>
  </si>
  <si>
    <t>versorgung</t>
  </si>
  <si>
    <t>Steinverarb.</t>
  </si>
  <si>
    <t>Erden</t>
  </si>
  <si>
    <t>Pappe</t>
  </si>
  <si>
    <t>B r a u n k o h l e</t>
  </si>
  <si>
    <t>davon aus den alten Bundesländern</t>
  </si>
  <si>
    <t>davon aus den neuen Bundesländern</t>
  </si>
  <si>
    <t>1 bis 1990 nur alte Bundesländer</t>
  </si>
  <si>
    <t>2 einschl. Glas, Keramik, Steinverarbeitung</t>
  </si>
  <si>
    <t>Hausbrand</t>
  </si>
  <si>
    <t>außer-</t>
  </si>
  <si>
    <t>dem</t>
  </si>
  <si>
    <t>Kleinverbr.</t>
  </si>
  <si>
    <t>Deputate</t>
  </si>
  <si>
    <t>B r i k e t t s</t>
  </si>
  <si>
    <t>2 ab 1993 aus den alten Bundesländern</t>
  </si>
  <si>
    <t>K o k s</t>
  </si>
  <si>
    <r>
      <t xml:space="preserve">absatz </t>
    </r>
    <r>
      <rPr>
        <b/>
        <vertAlign val="superscript"/>
        <sz val="14"/>
        <rFont val="Helv"/>
      </rPr>
      <t>3)</t>
    </r>
  </si>
  <si>
    <t>Staubkohle, Trockenbraunkohle und Wirbelschichtkohle</t>
  </si>
  <si>
    <t>..</t>
  </si>
  <si>
    <t>1427 ²</t>
  </si>
  <si>
    <t>1125 ²</t>
  </si>
  <si>
    <t>1150 ²</t>
  </si>
  <si>
    <t>1233 ²</t>
  </si>
  <si>
    <t>1431 ²</t>
  </si>
  <si>
    <t>1417 ²</t>
  </si>
  <si>
    <t>1801 ²</t>
  </si>
  <si>
    <t>1875 ²</t>
  </si>
  <si>
    <t>1891 ²</t>
  </si>
  <si>
    <t>2041 ²</t>
  </si>
  <si>
    <t xml:space="preserve">   537 ²</t>
  </si>
  <si>
    <t xml:space="preserve">   510 ²</t>
  </si>
  <si>
    <t xml:space="preserve">   527 ²</t>
  </si>
  <si>
    <t xml:space="preserve">   239 ²</t>
  </si>
  <si>
    <t xml:space="preserve">   537 *</t>
  </si>
  <si>
    <t xml:space="preserve">   510 *</t>
  </si>
  <si>
    <t xml:space="preserve">   527 *</t>
  </si>
  <si>
    <t xml:space="preserve">   239 *</t>
  </si>
  <si>
    <t>3 darunter Straßenbau, Papier-, Stahlindustrie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</si>
</sst>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\ \ \ \ \ "/>
    <numFmt numFmtId="165" formatCode="#,##0\ \ ;;&quot;-&quot;\ \ "/>
    <numFmt numFmtId="166" formatCode="&quot;+&quot;* #,##0\ \ ;&quot;-&quot;* #,##0\ \ ;&quot;-&quot;\ \ "/>
  </numFmts>
  <fonts count="14">
    <font>
      <sz val="10"/>
      <name val="Helv"/>
    </font>
    <font>
      <b/>
      <sz val="10"/>
      <name val="Helv"/>
    </font>
    <font>
      <b/>
      <sz val="18"/>
      <name val="Helv"/>
    </font>
    <font>
      <sz val="30"/>
      <name val="Helv"/>
    </font>
    <font>
      <b/>
      <sz val="20"/>
      <name val="Helv"/>
    </font>
    <font>
      <b/>
      <sz val="14"/>
      <name val="Helv"/>
    </font>
    <font>
      <strike/>
      <sz val="10"/>
      <name val="Helv"/>
    </font>
    <font>
      <sz val="18"/>
      <name val="Helv"/>
    </font>
    <font>
      <sz val="20"/>
      <name val="Helv"/>
    </font>
    <font>
      <strike/>
      <sz val="20"/>
      <name val="Helv"/>
    </font>
    <font>
      <strike/>
      <sz val="18"/>
      <name val="Helv"/>
    </font>
    <font>
      <sz val="10"/>
      <name val="Helv"/>
    </font>
    <font>
      <sz val="20"/>
      <color indexed="8"/>
      <name val="Arial"/>
      <family val="2"/>
    </font>
    <font>
      <b/>
      <vertAlign val="superscript"/>
      <sz val="14"/>
      <name val="Helv"/>
    </font>
  </fonts>
  <fills count="4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164" fontId="0" fillId="0" borderId="0" xfId="0" applyNumberFormat="1"/>
    <xf numFmtId="164" fontId="5" fillId="0" borderId="1" xfId="0" applyNumberFormat="1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7" fillId="0" borderId="0" xfId="0" applyFont="1"/>
    <xf numFmtId="164" fontId="6" fillId="0" borderId="0" xfId="0" applyNumberFormat="1" applyFont="1"/>
    <xf numFmtId="165" fontId="4" fillId="0" borderId="0" xfId="0" applyNumberFormat="1" applyFont="1"/>
    <xf numFmtId="165" fontId="4" fillId="0" borderId="3" xfId="0" applyNumberFormat="1" applyFont="1" applyBorder="1"/>
    <xf numFmtId="165" fontId="8" fillId="0" borderId="1" xfId="0" applyNumberFormat="1" applyFont="1" applyBorder="1"/>
    <xf numFmtId="165" fontId="8" fillId="0" borderId="2" xfId="0" applyNumberFormat="1" applyFont="1" applyBorder="1"/>
    <xf numFmtId="165" fontId="7" fillId="0" borderId="0" xfId="0" applyNumberFormat="1" applyFont="1" applyAlignment="1">
      <alignment horizontal="centerContinuous"/>
    </xf>
    <xf numFmtId="165" fontId="8" fillId="0" borderId="0" xfId="0" applyNumberFormat="1" applyFont="1" applyAlignment="1">
      <alignment horizontal="centerContinuous"/>
    </xf>
    <xf numFmtId="165" fontId="8" fillId="0" borderId="3" xfId="0" applyNumberFormat="1" applyFont="1" applyBorder="1" applyAlignment="1">
      <alignment horizontal="centerContinuous"/>
    </xf>
    <xf numFmtId="166" fontId="8" fillId="0" borderId="1" xfId="0" applyNumberFormat="1" applyFont="1" applyBorder="1"/>
    <xf numFmtId="165" fontId="7" fillId="0" borderId="1" xfId="0" applyNumberFormat="1" applyFont="1" applyBorder="1" applyAlignment="1">
      <alignment horizontal="centerContinuous"/>
    </xf>
    <xf numFmtId="165" fontId="8" fillId="0" borderId="0" xfId="0" applyNumberFormat="1" applyFont="1"/>
    <xf numFmtId="165" fontId="8" fillId="0" borderId="3" xfId="0" applyNumberFormat="1" applyFont="1" applyBorder="1"/>
    <xf numFmtId="165" fontId="10" fillId="0" borderId="0" xfId="0" applyNumberFormat="1" applyFont="1" applyAlignment="1">
      <alignment horizontal="centerContinuous"/>
    </xf>
    <xf numFmtId="165" fontId="9" fillId="0" borderId="0" xfId="0" applyNumberFormat="1" applyFont="1" applyAlignment="1">
      <alignment horizontal="centerContinuous"/>
    </xf>
    <xf numFmtId="165" fontId="9" fillId="0" borderId="3" xfId="0" applyNumberFormat="1" applyFont="1" applyBorder="1" applyAlignment="1">
      <alignment horizontal="centerContinuous"/>
    </xf>
    <xf numFmtId="165" fontId="9" fillId="0" borderId="1" xfId="0" applyNumberFormat="1" applyFont="1" applyBorder="1"/>
    <xf numFmtId="165" fontId="9" fillId="0" borderId="2" xfId="0" applyNumberFormat="1" applyFont="1" applyBorder="1"/>
    <xf numFmtId="165" fontId="9" fillId="0" borderId="0" xfId="0" applyNumberFormat="1" applyFont="1"/>
    <xf numFmtId="165" fontId="9" fillId="0" borderId="3" xfId="0" applyNumberFormat="1" applyFont="1" applyBorder="1"/>
    <xf numFmtId="165" fontId="10" fillId="0" borderId="1" xfId="0" applyNumberFormat="1" applyFont="1" applyBorder="1" applyAlignment="1">
      <alignment horizontal="centerContinuous"/>
    </xf>
    <xf numFmtId="0" fontId="5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Continuous"/>
    </xf>
    <xf numFmtId="164" fontId="3" fillId="0" borderId="11" xfId="0" applyNumberFormat="1" applyFont="1" applyBorder="1" applyAlignment="1">
      <alignment horizontal="centerContinuous"/>
    </xf>
    <xf numFmtId="164" fontId="3" fillId="0" borderId="12" xfId="0" applyNumberFormat="1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164" fontId="1" fillId="0" borderId="13" xfId="0" applyNumberFormat="1" applyFont="1" applyBorder="1" applyAlignment="1">
      <alignment horizontal="centerContinuous"/>
    </xf>
    <xf numFmtId="164" fontId="1" fillId="0" borderId="14" xfId="0" applyNumberFormat="1" applyFont="1" applyBorder="1" applyAlignment="1">
      <alignment horizontal="centerContinuous"/>
    </xf>
    <xf numFmtId="0" fontId="8" fillId="0" borderId="0" xfId="0" applyFont="1"/>
    <xf numFmtId="0" fontId="11" fillId="0" borderId="0" xfId="0" applyFont="1"/>
    <xf numFmtId="164" fontId="0" fillId="0" borderId="13" xfId="0" applyNumberFormat="1" applyBorder="1"/>
    <xf numFmtId="164" fontId="0" fillId="0" borderId="14" xfId="0" applyNumberFormat="1" applyBorder="1"/>
    <xf numFmtId="0" fontId="4" fillId="0" borderId="4" xfId="0" applyFont="1" applyBorder="1"/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7" xfId="0" applyFont="1" applyBorder="1"/>
    <xf numFmtId="0" fontId="0" fillId="0" borderId="8" xfId="0" applyBorder="1"/>
    <xf numFmtId="0" fontId="8" fillId="0" borderId="8" xfId="0" applyFont="1" applyBorder="1" applyAlignment="1">
      <alignment horizontal="centerContinuous" vertical="top"/>
    </xf>
    <xf numFmtId="164" fontId="1" fillId="0" borderId="13" xfId="0" applyNumberFormat="1" applyFont="1" applyBorder="1" applyAlignment="1">
      <alignment horizontal="centerContinuous" vertical="top"/>
    </xf>
    <xf numFmtId="164" fontId="1" fillId="0" borderId="14" xfId="0" applyNumberFormat="1" applyFont="1" applyBorder="1" applyAlignment="1">
      <alignment horizontal="centerContinuous" vertical="top"/>
    </xf>
    <xf numFmtId="0" fontId="1" fillId="0" borderId="0" xfId="0" applyFont="1" applyAlignment="1">
      <alignment vertical="top"/>
    </xf>
    <xf numFmtId="164" fontId="5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165" fontId="8" fillId="0" borderId="17" xfId="0" applyNumberFormat="1" applyFont="1" applyBorder="1"/>
    <xf numFmtId="165" fontId="8" fillId="0" borderId="1" xfId="0" applyNumberFormat="1" applyFont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4" fontId="0" fillId="0" borderId="3" xfId="0" applyNumberFormat="1" applyBorder="1"/>
    <xf numFmtId="0" fontId="7" fillId="0" borderId="8" xfId="0" applyFont="1" applyBorder="1"/>
    <xf numFmtId="0" fontId="12" fillId="0" borderId="0" xfId="0" applyFont="1" applyAlignment="1">
      <alignment horizontal="right" vertical="top" wrapText="1"/>
    </xf>
    <xf numFmtId="164" fontId="4" fillId="0" borderId="5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5" fontId="4" fillId="3" borderId="5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79DF8-6997-4A4D-8E87-259BCFA87D4E}">
  <sheetPr>
    <pageSetUpPr fitToPage="1"/>
  </sheetPr>
  <dimension ref="A1:J72"/>
  <sheetViews>
    <sheetView tabSelected="1" zoomScale="50" zoomScaleNormal="50" workbookViewId="0">
      <pane ySplit="1830" topLeftCell="A15" activePane="bottomLeft"/>
      <selection pane="bottomLeft" activeCell="B3" sqref="B3"/>
      <selection activeCell="B7" sqref="B7:J7"/>
    </sheetView>
  </sheetViews>
  <sheetFormatPr defaultColWidth="11.42578125" defaultRowHeight="12.75"/>
  <cols>
    <col min="1" max="1" width="12.5703125" customWidth="1"/>
    <col min="2" max="10" width="20.7109375" style="3" customWidth="1"/>
  </cols>
  <sheetData>
    <row r="1" spans="1:10" ht="26.25" thickBot="1">
      <c r="G1" s="66" t="s">
        <v>0</v>
      </c>
      <c r="H1" s="66"/>
      <c r="I1" s="66"/>
      <c r="J1" s="66"/>
    </row>
    <row r="2" spans="1:10" s="1" customFormat="1" ht="35.1" customHeight="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s="57" customFormat="1" ht="42" customHeight="1" thickBot="1">
      <c r="A3" s="54" t="s">
        <v>2</v>
      </c>
      <c r="B3" s="55"/>
      <c r="C3" s="55"/>
      <c r="D3" s="55"/>
      <c r="E3" s="55"/>
      <c r="F3" s="55"/>
      <c r="G3" s="55"/>
      <c r="H3" s="55"/>
      <c r="I3" s="55"/>
      <c r="J3" s="56"/>
    </row>
    <row r="4" spans="1:10" s="6" customFormat="1" ht="21" customHeight="1">
      <c r="A4" s="29" t="s">
        <v>3</v>
      </c>
      <c r="B4" s="30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/>
      <c r="J4" s="58" t="s">
        <v>11</v>
      </c>
    </row>
    <row r="5" spans="1:10" s="6" customFormat="1" ht="21" customHeight="1">
      <c r="A5" s="32"/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18</v>
      </c>
      <c r="I5" s="4" t="s">
        <v>19</v>
      </c>
      <c r="J5" s="59" t="s">
        <v>20</v>
      </c>
    </row>
    <row r="6" spans="1:10" s="6" customFormat="1" ht="21" customHeight="1" thickBot="1">
      <c r="A6" s="33"/>
      <c r="B6" s="34" t="s">
        <v>21</v>
      </c>
      <c r="C6" s="34" t="s">
        <v>22</v>
      </c>
      <c r="D6" s="34"/>
      <c r="E6" s="34" t="s">
        <v>23</v>
      </c>
      <c r="F6" s="34" t="s">
        <v>24</v>
      </c>
      <c r="G6" s="34"/>
      <c r="H6" s="34" t="s">
        <v>20</v>
      </c>
      <c r="I6" s="34"/>
      <c r="J6" s="60"/>
    </row>
    <row r="7" spans="1:10" s="2" customFormat="1" ht="24.75">
      <c r="A7" s="46"/>
      <c r="B7" s="67" t="s">
        <v>25</v>
      </c>
      <c r="C7" s="68"/>
      <c r="D7" s="68"/>
      <c r="E7" s="68"/>
      <c r="F7" s="68"/>
      <c r="G7" s="68"/>
      <c r="H7" s="68"/>
      <c r="I7" s="68"/>
      <c r="J7" s="69"/>
    </row>
    <row r="8" spans="1:10" s="42" customFormat="1" ht="24.95" customHeight="1">
      <c r="A8" s="47">
        <v>1985</v>
      </c>
      <c r="B8" s="12">
        <v>98339</v>
      </c>
      <c r="C8" s="12">
        <v>0</v>
      </c>
      <c r="D8" s="12">
        <v>1292</v>
      </c>
      <c r="E8" s="12">
        <v>1</v>
      </c>
      <c r="F8" s="12">
        <v>41</v>
      </c>
      <c r="G8" s="12">
        <v>53</v>
      </c>
      <c r="H8" s="12">
        <v>2714</v>
      </c>
      <c r="I8" s="12">
        <v>7</v>
      </c>
      <c r="J8" s="61">
        <v>102447</v>
      </c>
    </row>
    <row r="9" spans="1:10" s="2" customFormat="1" ht="24.95" customHeight="1">
      <c r="A9" s="47">
        <v>1986</v>
      </c>
      <c r="B9" s="12">
        <v>93130</v>
      </c>
      <c r="C9" s="12">
        <v>0</v>
      </c>
      <c r="D9" s="12">
        <v>1301</v>
      </c>
      <c r="E9" s="12">
        <v>0</v>
      </c>
      <c r="F9" s="12">
        <v>30</v>
      </c>
      <c r="G9" s="12">
        <v>59</v>
      </c>
      <c r="H9" s="12">
        <v>2363</v>
      </c>
      <c r="I9" s="12">
        <v>5</v>
      </c>
      <c r="J9" s="61">
        <v>96888</v>
      </c>
    </row>
    <row r="10" spans="1:10" s="2" customFormat="1" ht="24.95" customHeight="1">
      <c r="A10" s="47">
        <v>1987</v>
      </c>
      <c r="B10" s="12">
        <v>88245</v>
      </c>
      <c r="C10" s="12">
        <v>0</v>
      </c>
      <c r="D10" s="12">
        <v>1313</v>
      </c>
      <c r="E10" s="12">
        <v>0</v>
      </c>
      <c r="F10" s="12">
        <v>37</v>
      </c>
      <c r="G10" s="12">
        <v>56</v>
      </c>
      <c r="H10" s="12">
        <v>2379</v>
      </c>
      <c r="I10" s="12">
        <v>4</v>
      </c>
      <c r="J10" s="61">
        <v>92034</v>
      </c>
    </row>
    <row r="11" spans="1:10" s="2" customFormat="1" ht="24.95" customHeight="1">
      <c r="A11" s="47">
        <v>1988</v>
      </c>
      <c r="B11" s="12">
        <v>89527</v>
      </c>
      <c r="C11" s="12">
        <v>0</v>
      </c>
      <c r="D11" s="12">
        <v>1251</v>
      </c>
      <c r="E11" s="12">
        <v>0</v>
      </c>
      <c r="F11" s="12">
        <v>26</v>
      </c>
      <c r="G11" s="12">
        <v>56</v>
      </c>
      <c r="H11" s="12">
        <v>2887</v>
      </c>
      <c r="I11" s="12">
        <v>4</v>
      </c>
      <c r="J11" s="61">
        <v>93751</v>
      </c>
    </row>
    <row r="12" spans="1:10" s="2" customFormat="1" ht="24.95" customHeight="1">
      <c r="A12" s="47">
        <v>1989</v>
      </c>
      <c r="B12" s="12">
        <v>91789</v>
      </c>
      <c r="C12" s="12">
        <v>0</v>
      </c>
      <c r="D12" s="12">
        <v>1169</v>
      </c>
      <c r="E12" s="12">
        <v>0</v>
      </c>
      <c r="F12" s="12">
        <v>30</v>
      </c>
      <c r="G12" s="12">
        <v>60</v>
      </c>
      <c r="H12" s="12">
        <v>2076</v>
      </c>
      <c r="I12" s="12">
        <v>4</v>
      </c>
      <c r="J12" s="61">
        <v>95128</v>
      </c>
    </row>
    <row r="13" spans="1:10" s="2" customFormat="1" ht="24.95" customHeight="1">
      <c r="A13" s="47">
        <v>1990</v>
      </c>
      <c r="B13" s="12">
        <v>88672</v>
      </c>
      <c r="C13" s="12">
        <v>1</v>
      </c>
      <c r="D13" s="12">
        <v>1169</v>
      </c>
      <c r="E13" s="12">
        <v>0</v>
      </c>
      <c r="F13" s="12">
        <v>27</v>
      </c>
      <c r="G13" s="12">
        <v>65</v>
      </c>
      <c r="H13" s="12">
        <v>2980</v>
      </c>
      <c r="I13" s="12">
        <v>4</v>
      </c>
      <c r="J13" s="61">
        <v>92918</v>
      </c>
    </row>
    <row r="14" spans="1:10" s="2" customFormat="1" ht="11.45" customHeight="1">
      <c r="A14" s="47"/>
      <c r="B14" s="12"/>
      <c r="C14" s="12"/>
      <c r="D14" s="12"/>
      <c r="E14" s="12"/>
      <c r="F14" s="12"/>
      <c r="G14" s="12"/>
      <c r="H14" s="12"/>
      <c r="I14" s="12"/>
      <c r="J14" s="61"/>
    </row>
    <row r="15" spans="1:10" s="2" customFormat="1" ht="24.95" customHeight="1">
      <c r="A15" s="47">
        <v>1991</v>
      </c>
      <c r="B15" s="12">
        <v>168040</v>
      </c>
      <c r="C15" s="12">
        <v>215</v>
      </c>
      <c r="D15" s="12">
        <v>7331</v>
      </c>
      <c r="E15" s="12">
        <v>501</v>
      </c>
      <c r="F15" s="12">
        <v>327</v>
      </c>
      <c r="G15" s="12">
        <v>280</v>
      </c>
      <c r="H15" s="12">
        <v>24150</v>
      </c>
      <c r="I15" s="12">
        <v>3</v>
      </c>
      <c r="J15" s="61">
        <v>200847</v>
      </c>
    </row>
    <row r="16" spans="1:10" s="2" customFormat="1" ht="24.95" customHeight="1">
      <c r="A16" s="47">
        <v>1992</v>
      </c>
      <c r="B16" s="12">
        <v>166463.13500000001</v>
      </c>
      <c r="C16" s="12">
        <v>103</v>
      </c>
      <c r="D16" s="12">
        <v>5624.0450000000001</v>
      </c>
      <c r="E16" s="12">
        <v>229.78299999999999</v>
      </c>
      <c r="F16" s="12">
        <v>236.06200000000001</v>
      </c>
      <c r="G16" s="12">
        <v>351.072</v>
      </c>
      <c r="H16" s="12">
        <v>15343</v>
      </c>
      <c r="I16" s="12">
        <v>2.0939999999999999</v>
      </c>
      <c r="J16" s="61">
        <v>188352.185</v>
      </c>
    </row>
    <row r="17" spans="1:10" s="2" customFormat="1" ht="24.95" customHeight="1">
      <c r="A17" s="47">
        <v>1993</v>
      </c>
      <c r="B17" s="12">
        <v>158317.26999999999</v>
      </c>
      <c r="C17" s="12">
        <v>38</v>
      </c>
      <c r="D17" s="12">
        <v>3656.4839999999999</v>
      </c>
      <c r="E17" s="12">
        <v>95.418999999999997</v>
      </c>
      <c r="F17" s="12">
        <v>181.654</v>
      </c>
      <c r="G17" s="12">
        <v>279.19799999999998</v>
      </c>
      <c r="H17" s="12">
        <v>12370</v>
      </c>
      <c r="I17" s="12">
        <v>0.995</v>
      </c>
      <c r="J17" s="61">
        <v>174937.55299999996</v>
      </c>
    </row>
    <row r="18" spans="1:10" s="2" customFormat="1" ht="24.95" customHeight="1">
      <c r="A18" s="47">
        <v>1994</v>
      </c>
      <c r="B18" s="12">
        <f t="shared" ref="B18:J26" si="0">SUM(B28+B38)</f>
        <v>155376.486</v>
      </c>
      <c r="C18" s="12">
        <f t="shared" si="0"/>
        <v>0</v>
      </c>
      <c r="D18" s="12">
        <f t="shared" si="0"/>
        <v>2659.8249999999998</v>
      </c>
      <c r="E18" s="12">
        <f t="shared" si="0"/>
        <v>47.899000000000001</v>
      </c>
      <c r="F18" s="12">
        <f t="shared" si="0"/>
        <v>106.08</v>
      </c>
      <c r="G18" s="12">
        <f t="shared" si="0"/>
        <v>236.97399999999999</v>
      </c>
      <c r="H18" s="12">
        <f t="shared" si="0"/>
        <v>10337.951999999999</v>
      </c>
      <c r="I18" s="12">
        <f t="shared" si="0"/>
        <v>1.5369999999999999</v>
      </c>
      <c r="J18" s="61">
        <f t="shared" si="0"/>
        <v>168766.75300000003</v>
      </c>
    </row>
    <row r="19" spans="1:10" s="2" customFormat="1" ht="24.95" customHeight="1">
      <c r="A19" s="47">
        <v>1995</v>
      </c>
      <c r="B19" s="12">
        <f t="shared" si="0"/>
        <v>156379.30100000001</v>
      </c>
      <c r="C19" s="12">
        <f t="shared" si="0"/>
        <v>0.313</v>
      </c>
      <c r="D19" s="12">
        <f t="shared" si="0"/>
        <v>1957.08</v>
      </c>
      <c r="E19" s="12">
        <f t="shared" si="0"/>
        <v>116.477</v>
      </c>
      <c r="F19" s="12">
        <f t="shared" si="0"/>
        <v>116.922</v>
      </c>
      <c r="G19" s="12">
        <f t="shared" si="0"/>
        <v>279.3</v>
      </c>
      <c r="H19" s="12">
        <f t="shared" si="0"/>
        <v>3038.2149999999997</v>
      </c>
      <c r="I19" s="12">
        <f t="shared" si="0"/>
        <v>1.36</v>
      </c>
      <c r="J19" s="61">
        <f t="shared" si="0"/>
        <v>161888.96799999999</v>
      </c>
    </row>
    <row r="20" spans="1:10" s="2" customFormat="1" ht="24.95" customHeight="1">
      <c r="A20" s="47">
        <v>1996</v>
      </c>
      <c r="B20" s="12">
        <f t="shared" si="0"/>
        <v>157952.12300000002</v>
      </c>
      <c r="C20" s="12">
        <f t="shared" si="0"/>
        <v>0</v>
      </c>
      <c r="D20" s="12">
        <f t="shared" si="0"/>
        <v>1092.0900000000001</v>
      </c>
      <c r="E20" s="12">
        <f t="shared" si="0"/>
        <v>83.316000000000003</v>
      </c>
      <c r="F20" s="12">
        <f t="shared" si="0"/>
        <v>58.334000000000003</v>
      </c>
      <c r="G20" s="12">
        <f t="shared" si="0"/>
        <v>258.08</v>
      </c>
      <c r="H20" s="12">
        <f t="shared" si="0"/>
        <v>549.35400000000004</v>
      </c>
      <c r="I20" s="12">
        <f t="shared" si="0"/>
        <v>1.272</v>
      </c>
      <c r="J20" s="61">
        <f t="shared" si="0"/>
        <v>159994.56900000002</v>
      </c>
    </row>
    <row r="21" spans="1:10" s="2" customFormat="1" ht="24.95" customHeight="1">
      <c r="A21" s="47">
        <v>1997</v>
      </c>
      <c r="B21" s="12">
        <f t="shared" si="0"/>
        <v>153329.91099999999</v>
      </c>
      <c r="C21" s="12">
        <f t="shared" si="0"/>
        <v>0</v>
      </c>
      <c r="D21" s="12">
        <f t="shared" si="0"/>
        <v>807.12100000000009</v>
      </c>
      <c r="E21" s="12">
        <f t="shared" si="0"/>
        <v>12.872</v>
      </c>
      <c r="F21" s="12">
        <f t="shared" si="0"/>
        <v>4.5570000000000004</v>
      </c>
      <c r="G21" s="12">
        <f t="shared" si="0"/>
        <v>208.97200000000001</v>
      </c>
      <c r="H21" s="12">
        <f t="shared" si="0"/>
        <v>111.60499999999999</v>
      </c>
      <c r="I21" s="12">
        <f t="shared" si="0"/>
        <v>1.373</v>
      </c>
      <c r="J21" s="61">
        <f t="shared" si="0"/>
        <v>154476.41100000002</v>
      </c>
    </row>
    <row r="22" spans="1:10" s="2" customFormat="1" ht="24.95" customHeight="1">
      <c r="A22" s="47">
        <v>1998</v>
      </c>
      <c r="B22" s="12">
        <f t="shared" si="0"/>
        <v>148135.027</v>
      </c>
      <c r="C22" s="12">
        <f t="shared" si="0"/>
        <v>0</v>
      </c>
      <c r="D22" s="12">
        <f t="shared" si="0"/>
        <v>771.40099999999995</v>
      </c>
      <c r="E22" s="12">
        <f t="shared" si="0"/>
        <v>4.5969999999999995</v>
      </c>
      <c r="F22" s="12">
        <f t="shared" si="0"/>
        <v>0</v>
      </c>
      <c r="G22" s="12">
        <f t="shared" si="0"/>
        <v>232.81</v>
      </c>
      <c r="H22" s="12">
        <f t="shared" si="0"/>
        <v>29.207000000000001</v>
      </c>
      <c r="I22" s="12">
        <f t="shared" si="0"/>
        <v>2.5089999999999999</v>
      </c>
      <c r="J22" s="61">
        <f t="shared" si="0"/>
        <v>149175.55100000001</v>
      </c>
    </row>
    <row r="23" spans="1:10" s="2" customFormat="1" ht="24.95" customHeight="1">
      <c r="A23" s="47">
        <v>1999</v>
      </c>
      <c r="B23" s="12">
        <f t="shared" si="0"/>
        <v>144954.33799999999</v>
      </c>
      <c r="C23" s="12">
        <f t="shared" si="0"/>
        <v>0</v>
      </c>
      <c r="D23" s="12">
        <f t="shared" si="0"/>
        <v>714.92899999999997</v>
      </c>
      <c r="E23" s="12">
        <f t="shared" si="0"/>
        <v>5.0999999999999997E-2</v>
      </c>
      <c r="F23" s="12">
        <f t="shared" si="0"/>
        <v>0</v>
      </c>
      <c r="G23" s="12">
        <f t="shared" si="0"/>
        <v>231.66200000000001</v>
      </c>
      <c r="H23" s="12">
        <f t="shared" si="0"/>
        <v>22.697000000000003</v>
      </c>
      <c r="I23" s="12">
        <f t="shared" si="0"/>
        <v>1.2589999999999999</v>
      </c>
      <c r="J23" s="61">
        <f t="shared" si="0"/>
        <v>145924.93599999999</v>
      </c>
    </row>
    <row r="24" spans="1:10" s="2" customFormat="1" ht="24.95" customHeight="1">
      <c r="A24" s="47">
        <v>2000</v>
      </c>
      <c r="B24" s="12">
        <f t="shared" si="0"/>
        <v>153164.40100000001</v>
      </c>
      <c r="C24" s="12">
        <f t="shared" si="0"/>
        <v>0</v>
      </c>
      <c r="D24" s="12">
        <f t="shared" si="0"/>
        <v>435.06299999999999</v>
      </c>
      <c r="E24" s="12">
        <f t="shared" si="0"/>
        <v>7.4999999999999997E-2</v>
      </c>
      <c r="F24" s="12">
        <f t="shared" si="0"/>
        <v>0</v>
      </c>
      <c r="G24" s="12">
        <f t="shared" si="0"/>
        <v>215.97</v>
      </c>
      <c r="H24" s="12">
        <f t="shared" si="0"/>
        <v>10.035</v>
      </c>
      <c r="I24" s="12">
        <f t="shared" si="0"/>
        <v>1.1399999999999999</v>
      </c>
      <c r="J24" s="61">
        <f t="shared" si="0"/>
        <v>153826.68399999998</v>
      </c>
    </row>
    <row r="25" spans="1:10" s="2" customFormat="1" ht="24.95" customHeight="1">
      <c r="A25" s="47">
        <v>2001</v>
      </c>
      <c r="B25" s="12">
        <f t="shared" si="0"/>
        <v>160944.92700000003</v>
      </c>
      <c r="C25" s="12">
        <f t="shared" si="0"/>
        <v>0</v>
      </c>
      <c r="D25" s="12">
        <f t="shared" si="0"/>
        <v>221.672</v>
      </c>
      <c r="E25" s="12">
        <f t="shared" si="0"/>
        <v>7.2999999999999995E-2</v>
      </c>
      <c r="F25" s="12">
        <f t="shared" si="0"/>
        <v>0</v>
      </c>
      <c r="G25" s="12">
        <f t="shared" si="0"/>
        <v>214.09399999999999</v>
      </c>
      <c r="H25" s="12">
        <f t="shared" si="0"/>
        <v>7.5570000000000004</v>
      </c>
      <c r="I25" s="12">
        <f t="shared" si="0"/>
        <v>1.04</v>
      </c>
      <c r="J25" s="61">
        <f t="shared" si="0"/>
        <v>161389.36300000001</v>
      </c>
    </row>
    <row r="26" spans="1:10" s="2" customFormat="1" ht="24.95" customHeight="1">
      <c r="A26" s="47">
        <v>2002</v>
      </c>
      <c r="B26" s="12">
        <f t="shared" si="0"/>
        <v>167388.76299999998</v>
      </c>
      <c r="C26" s="12">
        <f t="shared" si="0"/>
        <v>0</v>
      </c>
      <c r="D26" s="12">
        <f t="shared" si="0"/>
        <v>222.80699999999999</v>
      </c>
      <c r="E26" s="12">
        <f t="shared" si="0"/>
        <v>0</v>
      </c>
      <c r="F26" s="12">
        <f t="shared" si="0"/>
        <v>0</v>
      </c>
      <c r="G26" s="12">
        <f t="shared" si="0"/>
        <v>211.94800000000001</v>
      </c>
      <c r="H26" s="12">
        <f t="shared" si="0"/>
        <v>5.5789999999999997</v>
      </c>
      <c r="I26" s="12">
        <f t="shared" si="0"/>
        <v>0.77900000000000003</v>
      </c>
      <c r="J26" s="61">
        <f t="shared" si="0"/>
        <v>167829.87599999999</v>
      </c>
    </row>
    <row r="27" spans="1:10" s="2" customFormat="1" ht="24.75" hidden="1" customHeight="1">
      <c r="A27" s="47"/>
      <c r="B27" s="14" t="s">
        <v>26</v>
      </c>
      <c r="C27" s="15"/>
      <c r="D27" s="15"/>
      <c r="E27" s="15"/>
      <c r="F27" s="15"/>
      <c r="G27" s="15"/>
      <c r="H27" s="15"/>
      <c r="I27" s="15"/>
      <c r="J27" s="16"/>
    </row>
    <row r="28" spans="1:10" s="2" customFormat="1" ht="24.95" hidden="1" customHeight="1">
      <c r="A28" s="47">
        <v>1994</v>
      </c>
      <c r="B28" s="12">
        <v>89864.134000000005</v>
      </c>
      <c r="C28" s="12">
        <v>0</v>
      </c>
      <c r="D28" s="12">
        <v>840.36400000000003</v>
      </c>
      <c r="E28" s="12">
        <v>0</v>
      </c>
      <c r="F28" s="12">
        <v>0</v>
      </c>
      <c r="G28" s="12">
        <v>53.100999999999999</v>
      </c>
      <c r="H28" s="12">
        <v>110.157</v>
      </c>
      <c r="I28" s="12">
        <v>1.5369999999999999</v>
      </c>
      <c r="J28" s="61">
        <v>90869.293000000005</v>
      </c>
    </row>
    <row r="29" spans="1:10" s="2" customFormat="1" ht="24.95" hidden="1" customHeight="1">
      <c r="A29" s="47">
        <v>1995</v>
      </c>
      <c r="B29" s="12">
        <v>89842.880000000005</v>
      </c>
      <c r="C29" s="12">
        <v>0</v>
      </c>
      <c r="D29" s="12">
        <v>770.82299999999998</v>
      </c>
      <c r="E29" s="12">
        <v>0</v>
      </c>
      <c r="F29" s="12">
        <v>0</v>
      </c>
      <c r="G29" s="12">
        <v>53.015999999999998</v>
      </c>
      <c r="H29" s="12">
        <v>70.867999999999995</v>
      </c>
      <c r="I29" s="12">
        <v>1.36</v>
      </c>
      <c r="J29" s="61">
        <f t="shared" ref="J29:J34" si="1">SUM(B29:I29)</f>
        <v>90738.947000000015</v>
      </c>
    </row>
    <row r="30" spans="1:10" s="2" customFormat="1" ht="24.95" hidden="1" customHeight="1">
      <c r="A30" s="47">
        <v>1996</v>
      </c>
      <c r="B30" s="12">
        <v>92691.649000000005</v>
      </c>
      <c r="C30" s="12">
        <v>0</v>
      </c>
      <c r="D30" s="12">
        <v>771.11900000000003</v>
      </c>
      <c r="E30" s="12">
        <v>0</v>
      </c>
      <c r="F30" s="12">
        <v>0</v>
      </c>
      <c r="G30" s="12">
        <v>41.128</v>
      </c>
      <c r="H30" s="12">
        <v>15.91</v>
      </c>
      <c r="I30" s="12">
        <v>1.272</v>
      </c>
      <c r="J30" s="61">
        <f t="shared" si="1"/>
        <v>93521.078000000009</v>
      </c>
    </row>
    <row r="31" spans="1:10" s="2" customFormat="1" ht="24.95" hidden="1" customHeight="1">
      <c r="A31" s="47">
        <v>1997</v>
      </c>
      <c r="B31" s="12">
        <v>90011.983999999997</v>
      </c>
      <c r="C31" s="12">
        <v>0</v>
      </c>
      <c r="D31" s="12">
        <v>804.77200000000005</v>
      </c>
      <c r="E31" s="12">
        <v>0</v>
      </c>
      <c r="F31" s="12">
        <v>0</v>
      </c>
      <c r="G31" s="12">
        <v>0</v>
      </c>
      <c r="H31" s="12">
        <v>3.2879999999999998</v>
      </c>
      <c r="I31" s="12">
        <v>1.373</v>
      </c>
      <c r="J31" s="61">
        <f t="shared" si="1"/>
        <v>90821.417000000001</v>
      </c>
    </row>
    <row r="32" spans="1:10" s="2" customFormat="1" ht="24.95" hidden="1" customHeight="1">
      <c r="A32" s="47">
        <v>1998</v>
      </c>
      <c r="B32" s="12">
        <v>89968.044999999998</v>
      </c>
      <c r="C32" s="12">
        <v>0</v>
      </c>
      <c r="D32" s="12">
        <v>771.40099999999995</v>
      </c>
      <c r="E32" s="12">
        <v>4.0000000000000001E-3</v>
      </c>
      <c r="F32" s="12">
        <v>0</v>
      </c>
      <c r="G32" s="12">
        <v>0</v>
      </c>
      <c r="H32" s="12">
        <v>1.2150000000000001</v>
      </c>
      <c r="I32" s="12">
        <v>2.5089999999999999</v>
      </c>
      <c r="J32" s="61">
        <f t="shared" si="1"/>
        <v>90743.173999999999</v>
      </c>
    </row>
    <row r="33" spans="1:10" s="2" customFormat="1" ht="24.95" hidden="1" customHeight="1">
      <c r="A33" s="47">
        <v>1999</v>
      </c>
      <c r="B33" s="12">
        <v>85027.687000000005</v>
      </c>
      <c r="C33" s="12">
        <v>0</v>
      </c>
      <c r="D33" s="12">
        <v>714.92899999999997</v>
      </c>
      <c r="E33" s="12">
        <v>0</v>
      </c>
      <c r="F33" s="12">
        <v>0</v>
      </c>
      <c r="G33" s="12">
        <v>0</v>
      </c>
      <c r="H33" s="12">
        <v>0.54800000000000004</v>
      </c>
      <c r="I33" s="12">
        <v>1.2589999999999999</v>
      </c>
      <c r="J33" s="61">
        <f t="shared" si="1"/>
        <v>85744.42300000001</v>
      </c>
    </row>
    <row r="34" spans="1:10" s="2" customFormat="1" ht="24.95" hidden="1" customHeight="1">
      <c r="A34" s="47">
        <v>2000</v>
      </c>
      <c r="B34" s="12">
        <v>85382.366999999998</v>
      </c>
      <c r="C34" s="12">
        <v>0</v>
      </c>
      <c r="D34" s="12">
        <v>435.06299999999999</v>
      </c>
      <c r="E34" s="12">
        <v>0</v>
      </c>
      <c r="F34" s="12">
        <v>0</v>
      </c>
      <c r="G34" s="12">
        <v>0</v>
      </c>
      <c r="H34" s="12">
        <v>1.3049999999999999</v>
      </c>
      <c r="I34" s="12">
        <v>1.1399999999999999</v>
      </c>
      <c r="J34" s="61">
        <f t="shared" si="1"/>
        <v>85819.874999999985</v>
      </c>
    </row>
    <row r="35" spans="1:10" s="2" customFormat="1" ht="24.95" hidden="1" customHeight="1">
      <c r="A35" s="47">
        <v>2001</v>
      </c>
      <c r="B35" s="12">
        <v>88019.297000000006</v>
      </c>
      <c r="C35" s="12">
        <v>0</v>
      </c>
      <c r="D35" s="12">
        <v>221.672</v>
      </c>
      <c r="E35" s="12">
        <v>0</v>
      </c>
      <c r="F35" s="12">
        <v>0</v>
      </c>
      <c r="G35" s="12">
        <v>0</v>
      </c>
      <c r="H35" s="12">
        <v>1.359</v>
      </c>
      <c r="I35" s="12">
        <v>1.04</v>
      </c>
      <c r="J35" s="61">
        <f>SUM(B35:I35)</f>
        <v>88243.368000000002</v>
      </c>
    </row>
    <row r="36" spans="1:10" s="2" customFormat="1" ht="24.95" hidden="1" customHeight="1">
      <c r="A36" s="47">
        <v>2002</v>
      </c>
      <c r="B36" s="12">
        <v>91672.627999999997</v>
      </c>
      <c r="C36" s="12">
        <v>0</v>
      </c>
      <c r="D36" s="12">
        <v>222.80699999999999</v>
      </c>
      <c r="E36" s="12">
        <v>0</v>
      </c>
      <c r="F36" s="12">
        <v>0</v>
      </c>
      <c r="G36" s="12">
        <v>0</v>
      </c>
      <c r="H36" s="12">
        <v>0.55800000000000005</v>
      </c>
      <c r="I36" s="12">
        <v>0.77900000000000003</v>
      </c>
      <c r="J36" s="61">
        <f>SUM(B36:I36)</f>
        <v>91896.771999999997</v>
      </c>
    </row>
    <row r="37" spans="1:10" s="2" customFormat="1" ht="24.75" hidden="1" customHeight="1">
      <c r="A37" s="47"/>
      <c r="B37" s="18" t="s">
        <v>27</v>
      </c>
      <c r="C37" s="15"/>
      <c r="D37" s="15"/>
      <c r="E37" s="15"/>
      <c r="F37" s="15"/>
      <c r="G37" s="15"/>
      <c r="H37" s="15"/>
      <c r="I37" s="15"/>
      <c r="J37" s="16"/>
    </row>
    <row r="38" spans="1:10" s="2" customFormat="1" ht="23.25" hidden="1" customHeight="1">
      <c r="A38" s="47">
        <v>1994</v>
      </c>
      <c r="B38" s="12">
        <v>65512.351999999999</v>
      </c>
      <c r="C38" s="12">
        <v>0</v>
      </c>
      <c r="D38" s="12">
        <v>1819.461</v>
      </c>
      <c r="E38" s="12">
        <v>47.899000000000001</v>
      </c>
      <c r="F38" s="12">
        <v>106.08</v>
      </c>
      <c r="G38" s="12">
        <v>183.87299999999999</v>
      </c>
      <c r="H38" s="12">
        <v>10227.795</v>
      </c>
      <c r="I38" s="12">
        <v>0</v>
      </c>
      <c r="J38" s="61">
        <v>77897.460000000006</v>
      </c>
    </row>
    <row r="39" spans="1:10" s="2" customFormat="1" ht="23.25" hidden="1" customHeight="1">
      <c r="A39" s="47">
        <v>1995</v>
      </c>
      <c r="B39" s="12">
        <v>66536.421000000002</v>
      </c>
      <c r="C39" s="12">
        <v>0.313</v>
      </c>
      <c r="D39" s="12">
        <v>1186.2570000000001</v>
      </c>
      <c r="E39" s="12">
        <v>116.477</v>
      </c>
      <c r="F39" s="12">
        <v>116.922</v>
      </c>
      <c r="G39" s="12">
        <v>226.28399999999999</v>
      </c>
      <c r="H39" s="12">
        <v>2967.3469999999998</v>
      </c>
      <c r="I39" s="12">
        <v>0</v>
      </c>
      <c r="J39" s="61">
        <f t="shared" ref="J39:J62" si="2">SUM(B39:I39)</f>
        <v>71150.020999999993</v>
      </c>
    </row>
    <row r="40" spans="1:10" s="2" customFormat="1" ht="23.25" hidden="1" customHeight="1">
      <c r="A40" s="47">
        <v>1996</v>
      </c>
      <c r="B40" s="12">
        <v>65260.474000000002</v>
      </c>
      <c r="C40" s="12">
        <v>0</v>
      </c>
      <c r="D40" s="12">
        <v>320.971</v>
      </c>
      <c r="E40" s="12">
        <v>83.316000000000003</v>
      </c>
      <c r="F40" s="12">
        <v>58.334000000000003</v>
      </c>
      <c r="G40" s="12">
        <v>216.952</v>
      </c>
      <c r="H40" s="12">
        <v>533.44400000000007</v>
      </c>
      <c r="I40" s="12">
        <v>0</v>
      </c>
      <c r="J40" s="61">
        <f t="shared" si="2"/>
        <v>66473.491000000024</v>
      </c>
    </row>
    <row r="41" spans="1:10" s="2" customFormat="1" ht="23.25" hidden="1" customHeight="1">
      <c r="A41" s="47">
        <v>1997</v>
      </c>
      <c r="B41" s="12">
        <v>63317.927000000003</v>
      </c>
      <c r="C41" s="12">
        <v>0</v>
      </c>
      <c r="D41" s="12">
        <v>2.3490000000000002</v>
      </c>
      <c r="E41" s="12">
        <v>12.872</v>
      </c>
      <c r="F41" s="12">
        <v>4.5570000000000004</v>
      </c>
      <c r="G41" s="12">
        <v>208.97200000000001</v>
      </c>
      <c r="H41" s="12">
        <v>108.31699999999999</v>
      </c>
      <c r="I41" s="12">
        <v>0</v>
      </c>
      <c r="J41" s="61">
        <f t="shared" si="2"/>
        <v>63654.994000000013</v>
      </c>
    </row>
    <row r="42" spans="1:10" s="2" customFormat="1" ht="23.25" hidden="1" customHeight="1">
      <c r="A42" s="47">
        <v>1998</v>
      </c>
      <c r="B42" s="12">
        <v>58166.982000000004</v>
      </c>
      <c r="C42" s="12">
        <v>0</v>
      </c>
      <c r="D42" s="12">
        <v>0</v>
      </c>
      <c r="E42" s="12">
        <v>4.593</v>
      </c>
      <c r="F42" s="12">
        <v>0</v>
      </c>
      <c r="G42" s="12">
        <v>232.81</v>
      </c>
      <c r="H42" s="12">
        <v>27.992000000000001</v>
      </c>
      <c r="I42" s="12">
        <v>0</v>
      </c>
      <c r="J42" s="61">
        <f t="shared" si="2"/>
        <v>58432.377</v>
      </c>
    </row>
    <row r="43" spans="1:10" s="2" customFormat="1" ht="23.25" hidden="1" customHeight="1">
      <c r="A43" s="47">
        <v>1999</v>
      </c>
      <c r="B43" s="12">
        <v>59926.650999999998</v>
      </c>
      <c r="C43" s="12">
        <v>0</v>
      </c>
      <c r="D43" s="12">
        <v>0</v>
      </c>
      <c r="E43" s="12">
        <v>5.0999999999999997E-2</v>
      </c>
      <c r="F43" s="12">
        <v>0</v>
      </c>
      <c r="G43" s="12">
        <v>231.66200000000001</v>
      </c>
      <c r="H43" s="12">
        <v>22.149000000000001</v>
      </c>
      <c r="I43" s="12">
        <v>0</v>
      </c>
      <c r="J43" s="61">
        <f t="shared" si="2"/>
        <v>60180.512999999992</v>
      </c>
    </row>
    <row r="44" spans="1:10" s="2" customFormat="1" ht="23.25" hidden="1" customHeight="1">
      <c r="A44" s="47">
        <v>2000</v>
      </c>
      <c r="B44" s="12">
        <v>67782.034</v>
      </c>
      <c r="C44" s="12">
        <v>0</v>
      </c>
      <c r="D44" s="12">
        <v>0</v>
      </c>
      <c r="E44" s="12">
        <v>7.4999999999999997E-2</v>
      </c>
      <c r="F44" s="12">
        <v>0</v>
      </c>
      <c r="G44" s="12">
        <v>215.97</v>
      </c>
      <c r="H44" s="12">
        <v>8.73</v>
      </c>
      <c r="I44" s="12">
        <v>0</v>
      </c>
      <c r="J44" s="61">
        <f t="shared" si="2"/>
        <v>68006.808999999994</v>
      </c>
    </row>
    <row r="45" spans="1:10" s="2" customFormat="1" ht="23.25" hidden="1" customHeight="1">
      <c r="A45" s="47">
        <v>2001</v>
      </c>
      <c r="B45" s="12">
        <v>72925.63</v>
      </c>
      <c r="C45" s="12">
        <v>0</v>
      </c>
      <c r="D45" s="12">
        <v>0</v>
      </c>
      <c r="E45" s="12">
        <v>7.2999999999999995E-2</v>
      </c>
      <c r="F45" s="12">
        <v>0</v>
      </c>
      <c r="G45" s="12">
        <v>214.09399999999999</v>
      </c>
      <c r="H45" s="12">
        <v>6.1980000000000004</v>
      </c>
      <c r="I45" s="12">
        <v>0</v>
      </c>
      <c r="J45" s="61">
        <f t="shared" si="2"/>
        <v>73145.99500000001</v>
      </c>
    </row>
    <row r="46" spans="1:10" s="2" customFormat="1" ht="23.25" hidden="1" customHeight="1">
      <c r="A46" s="47">
        <v>2002</v>
      </c>
      <c r="B46" s="12">
        <v>75716.134999999995</v>
      </c>
      <c r="C46" s="12">
        <v>0</v>
      </c>
      <c r="D46" s="12">
        <v>0</v>
      </c>
      <c r="E46" s="12">
        <v>0</v>
      </c>
      <c r="F46" s="12">
        <v>0</v>
      </c>
      <c r="G46" s="12">
        <v>211.94800000000001</v>
      </c>
      <c r="H46" s="12">
        <v>5.0209999999999999</v>
      </c>
      <c r="I46" s="12">
        <v>0</v>
      </c>
      <c r="J46" s="61">
        <f t="shared" si="2"/>
        <v>75933.103999999992</v>
      </c>
    </row>
    <row r="47" spans="1:10" s="2" customFormat="1" ht="24.95" customHeight="1">
      <c r="A47" s="47">
        <v>2003</v>
      </c>
      <c r="B47" s="12">
        <v>165258.98699999999</v>
      </c>
      <c r="C47" s="12">
        <v>0.46899999999999997</v>
      </c>
      <c r="D47" s="12">
        <v>219.63200000000001</v>
      </c>
      <c r="E47" s="12">
        <v>0</v>
      </c>
      <c r="F47" s="12">
        <v>0</v>
      </c>
      <c r="G47" s="12">
        <v>214.565</v>
      </c>
      <c r="H47" s="12">
        <v>147.41399999999999</v>
      </c>
      <c r="I47" s="12">
        <v>0.54500000000000004</v>
      </c>
      <c r="J47" s="61">
        <f t="shared" si="2"/>
        <v>165841.61200000002</v>
      </c>
    </row>
    <row r="48" spans="1:10" s="2" customFormat="1" ht="24.95" customHeight="1">
      <c r="A48" s="47">
        <v>2004</v>
      </c>
      <c r="B48" s="12">
        <v>167385</v>
      </c>
      <c r="C48" s="12">
        <v>0</v>
      </c>
      <c r="D48" s="12">
        <v>232</v>
      </c>
      <c r="E48" s="12">
        <v>0</v>
      </c>
      <c r="F48" s="12">
        <v>0</v>
      </c>
      <c r="G48" s="12">
        <v>214</v>
      </c>
      <c r="H48" s="12">
        <v>139</v>
      </c>
      <c r="I48" s="12">
        <v>1</v>
      </c>
      <c r="J48" s="61">
        <f t="shared" si="2"/>
        <v>167971</v>
      </c>
    </row>
    <row r="49" spans="1:10" s="2" customFormat="1" ht="24.95" customHeight="1">
      <c r="A49" s="47">
        <v>2005</v>
      </c>
      <c r="B49" s="12">
        <v>163162.13399999999</v>
      </c>
      <c r="C49" s="12">
        <v>0</v>
      </c>
      <c r="D49" s="12">
        <v>213.81899999999999</v>
      </c>
      <c r="E49" s="12">
        <v>0.02</v>
      </c>
      <c r="F49" s="12">
        <v>0</v>
      </c>
      <c r="G49" s="12">
        <v>390.71300000000002</v>
      </c>
      <c r="H49" s="12">
        <v>110.111</v>
      </c>
      <c r="I49" s="12">
        <v>0.53300000000000003</v>
      </c>
      <c r="J49" s="61">
        <f t="shared" si="2"/>
        <v>163877.32999999996</v>
      </c>
    </row>
    <row r="50" spans="1:10" s="2" customFormat="1" ht="24.95" customHeight="1">
      <c r="A50" s="47">
        <v>2006</v>
      </c>
      <c r="B50" s="12">
        <v>160981.97099999999</v>
      </c>
      <c r="C50" s="12">
        <v>0</v>
      </c>
      <c r="D50" s="12">
        <v>213.95</v>
      </c>
      <c r="E50" s="12">
        <v>0</v>
      </c>
      <c r="F50" s="12">
        <v>0</v>
      </c>
      <c r="G50" s="12">
        <v>543.31899999999996</v>
      </c>
      <c r="H50" s="12">
        <v>91.076999999999998</v>
      </c>
      <c r="I50" s="12">
        <v>0.70799999999999996</v>
      </c>
      <c r="J50" s="61">
        <f t="shared" si="2"/>
        <v>161831.02499999999</v>
      </c>
    </row>
    <row r="51" spans="1:10" s="2" customFormat="1" ht="24.95" customHeight="1">
      <c r="A51" s="47">
        <v>2007</v>
      </c>
      <c r="B51" s="12">
        <v>165212.37899999999</v>
      </c>
      <c r="C51" s="12">
        <v>0</v>
      </c>
      <c r="D51" s="12">
        <v>216.81399999999999</v>
      </c>
      <c r="E51" s="12">
        <v>0</v>
      </c>
      <c r="F51" s="12">
        <v>0</v>
      </c>
      <c r="G51" s="12">
        <v>540.96500000000003</v>
      </c>
      <c r="H51" s="12">
        <v>118.065</v>
      </c>
      <c r="I51" s="12">
        <v>0.39300000000000002</v>
      </c>
      <c r="J51" s="61">
        <f t="shared" si="2"/>
        <v>166088.61600000001</v>
      </c>
    </row>
    <row r="52" spans="1:10" s="2" customFormat="1" ht="24.95" customHeight="1">
      <c r="A52" s="47">
        <v>2008</v>
      </c>
      <c r="B52" s="12">
        <v>159392.23199999999</v>
      </c>
      <c r="C52" s="12">
        <v>0</v>
      </c>
      <c r="D52" s="12">
        <v>212.68199999999999</v>
      </c>
      <c r="E52" s="12">
        <v>0</v>
      </c>
      <c r="F52" s="12">
        <v>0</v>
      </c>
      <c r="G52" s="12">
        <v>507.27499999999998</v>
      </c>
      <c r="H52" s="12">
        <v>16.219000000000001</v>
      </c>
      <c r="I52" s="12">
        <v>15.195</v>
      </c>
      <c r="J52" s="61">
        <f t="shared" si="2"/>
        <v>160143.603</v>
      </c>
    </row>
    <row r="53" spans="1:10" s="2" customFormat="1" ht="24.95" customHeight="1">
      <c r="A53" s="47">
        <v>2009</v>
      </c>
      <c r="B53" s="12">
        <v>153432.02100000001</v>
      </c>
      <c r="C53" s="12">
        <v>0</v>
      </c>
      <c r="D53" s="12">
        <v>533.71400000000006</v>
      </c>
      <c r="E53" s="12">
        <v>0</v>
      </c>
      <c r="F53" s="12">
        <v>0</v>
      </c>
      <c r="G53" s="12">
        <v>227.97499999999999</v>
      </c>
      <c r="H53" s="12">
        <v>16.911999999999999</v>
      </c>
      <c r="I53" s="12">
        <v>38.350999999999999</v>
      </c>
      <c r="J53" s="61">
        <f t="shared" si="2"/>
        <v>154248.97300000003</v>
      </c>
    </row>
    <row r="54" spans="1:10" s="2" customFormat="1" ht="24.95" customHeight="1">
      <c r="A54" s="47">
        <v>2010</v>
      </c>
      <c r="B54" s="12">
        <v>151949</v>
      </c>
      <c r="C54" s="12">
        <v>0</v>
      </c>
      <c r="D54" s="12">
        <v>556</v>
      </c>
      <c r="E54" s="12">
        <v>0</v>
      </c>
      <c r="F54" s="12">
        <v>0</v>
      </c>
      <c r="G54" s="12">
        <v>213</v>
      </c>
      <c r="H54" s="12">
        <v>14</v>
      </c>
      <c r="I54" s="12">
        <v>1E-3</v>
      </c>
      <c r="J54" s="61">
        <f t="shared" si="2"/>
        <v>152732.00099999999</v>
      </c>
    </row>
    <row r="55" spans="1:10" s="2" customFormat="1" ht="24.95" customHeight="1">
      <c r="A55" s="47">
        <v>2011</v>
      </c>
      <c r="B55" s="12">
        <v>157373</v>
      </c>
      <c r="C55" s="12">
        <v>0</v>
      </c>
      <c r="D55" s="12">
        <v>561</v>
      </c>
      <c r="E55" s="12">
        <v>0</v>
      </c>
      <c r="F55" s="12">
        <v>0</v>
      </c>
      <c r="G55" s="12">
        <v>235</v>
      </c>
      <c r="H55" s="12">
        <v>3</v>
      </c>
      <c r="I55" s="12">
        <v>5</v>
      </c>
      <c r="J55" s="61">
        <f t="shared" si="2"/>
        <v>158177</v>
      </c>
    </row>
    <row r="56" spans="1:10" s="2" customFormat="1" ht="24.95" customHeight="1">
      <c r="A56" s="47">
        <v>2012</v>
      </c>
      <c r="B56" s="12">
        <v>166331</v>
      </c>
      <c r="C56" s="12">
        <v>0</v>
      </c>
      <c r="D56" s="12">
        <v>550</v>
      </c>
      <c r="E56" s="12">
        <v>0</v>
      </c>
      <c r="F56" s="12">
        <v>0</v>
      </c>
      <c r="G56" s="12">
        <v>186</v>
      </c>
      <c r="H56" s="12">
        <v>3</v>
      </c>
      <c r="I56" s="12">
        <v>276</v>
      </c>
      <c r="J56" s="61">
        <f t="shared" si="2"/>
        <v>167346</v>
      </c>
    </row>
    <row r="57" spans="1:10" s="2" customFormat="1" ht="24.95" customHeight="1">
      <c r="A57" s="47">
        <v>2013</v>
      </c>
      <c r="B57" s="12">
        <v>163800.95000000001</v>
      </c>
      <c r="C57" s="12">
        <v>0</v>
      </c>
      <c r="D57" s="12">
        <v>553.25400000000002</v>
      </c>
      <c r="E57" s="12">
        <v>0</v>
      </c>
      <c r="F57" s="12">
        <v>0</v>
      </c>
      <c r="G57" s="12">
        <v>171.70599999999999</v>
      </c>
      <c r="H57" s="12">
        <v>4.149</v>
      </c>
      <c r="I57" s="12">
        <v>179.018</v>
      </c>
      <c r="J57" s="61">
        <f t="shared" si="2"/>
        <v>164709.07700000002</v>
      </c>
    </row>
    <row r="58" spans="1:10" s="2" customFormat="1" ht="24.95" customHeight="1">
      <c r="A58" s="47">
        <v>2014</v>
      </c>
      <c r="B58" s="12">
        <v>159034.946</v>
      </c>
      <c r="C58" s="12">
        <v>0</v>
      </c>
      <c r="D58" s="12">
        <v>547.5</v>
      </c>
      <c r="E58" s="12">
        <v>1.018</v>
      </c>
      <c r="F58" s="12">
        <v>0</v>
      </c>
      <c r="G58" s="12">
        <v>175.14500000000001</v>
      </c>
      <c r="H58" s="12">
        <v>5</v>
      </c>
      <c r="I58" s="12">
        <v>1171.251</v>
      </c>
      <c r="J58" s="61">
        <f t="shared" si="2"/>
        <v>160934.85999999999</v>
      </c>
    </row>
    <row r="59" spans="1:10" s="2" customFormat="1" ht="24.95" customHeight="1">
      <c r="A59" s="47">
        <v>2015</v>
      </c>
      <c r="B59" s="12">
        <v>159330.95000000001</v>
      </c>
      <c r="C59" s="12">
        <v>0</v>
      </c>
      <c r="D59" s="12">
        <v>506.58</v>
      </c>
      <c r="E59" s="12">
        <v>0.127</v>
      </c>
      <c r="F59" s="12">
        <v>0</v>
      </c>
      <c r="G59" s="12">
        <v>194.16300000000001</v>
      </c>
      <c r="H59" s="12">
        <v>4.03</v>
      </c>
      <c r="I59" s="12">
        <v>913.50400000000002</v>
      </c>
      <c r="J59" s="61">
        <f t="shared" si="2"/>
        <v>160949.35399999999</v>
      </c>
    </row>
    <row r="60" spans="1:10" s="2" customFormat="1" ht="24.95" customHeight="1">
      <c r="A60" s="47">
        <v>2016</v>
      </c>
      <c r="B60" s="12">
        <v>155207.315</v>
      </c>
      <c r="C60" s="12">
        <v>0</v>
      </c>
      <c r="D60" s="12">
        <v>547.13199999999995</v>
      </c>
      <c r="E60" s="12">
        <v>0</v>
      </c>
      <c r="F60" s="12">
        <v>0</v>
      </c>
      <c r="G60" s="12">
        <v>223.36699999999999</v>
      </c>
      <c r="H60" s="12">
        <v>5.1230000000000002</v>
      </c>
      <c r="I60" s="12">
        <v>0</v>
      </c>
      <c r="J60" s="61">
        <f t="shared" si="2"/>
        <v>155982.93700000001</v>
      </c>
    </row>
    <row r="61" spans="1:10" s="2" customFormat="1" ht="24.95" customHeight="1">
      <c r="A61" s="47">
        <v>2017</v>
      </c>
      <c r="B61" s="12">
        <v>153191.448</v>
      </c>
      <c r="C61" s="12">
        <v>0</v>
      </c>
      <c r="D61" s="12">
        <v>545.02200000000005</v>
      </c>
      <c r="E61" s="12">
        <v>3.4000000000000002E-2</v>
      </c>
      <c r="F61" s="12">
        <v>0</v>
      </c>
      <c r="G61" s="12">
        <v>234.52099999999999</v>
      </c>
      <c r="H61" s="12">
        <f>6.306+0.228</f>
        <v>6.5339999999999998</v>
      </c>
      <c r="I61" s="12">
        <v>2.5999999999999999E-2</v>
      </c>
      <c r="J61" s="61">
        <f t="shared" si="2"/>
        <v>153977.58500000005</v>
      </c>
    </row>
    <row r="62" spans="1:10" s="2" customFormat="1" ht="24.95" customHeight="1">
      <c r="A62" s="47">
        <v>2018</v>
      </c>
      <c r="B62" s="12">
        <v>147902.71100000001</v>
      </c>
      <c r="C62" s="12">
        <v>0</v>
      </c>
      <c r="D62" s="12">
        <v>561.91700000000003</v>
      </c>
      <c r="E62" s="12">
        <v>2.8000000000000001E-2</v>
      </c>
      <c r="F62" s="12">
        <v>0</v>
      </c>
      <c r="G62" s="12">
        <v>274.11700000000002</v>
      </c>
      <c r="H62" s="12">
        <f>17.291+0.049+8.392</f>
        <v>25.731999999999999</v>
      </c>
      <c r="I62" s="12">
        <v>0</v>
      </c>
      <c r="J62" s="61">
        <f t="shared" si="2"/>
        <v>148764.50499999998</v>
      </c>
    </row>
    <row r="63" spans="1:10" s="2" customFormat="1" ht="24.75" customHeight="1">
      <c r="A63" s="47">
        <v>2019</v>
      </c>
      <c r="B63" s="12">
        <v>114934.33900000001</v>
      </c>
      <c r="C63" s="12">
        <v>0</v>
      </c>
      <c r="D63" s="12">
        <v>517.00400000000002</v>
      </c>
      <c r="E63" s="12">
        <v>0</v>
      </c>
      <c r="F63" s="12">
        <v>0</v>
      </c>
      <c r="G63" s="12">
        <v>218.53</v>
      </c>
      <c r="H63" s="12">
        <f>9.008</f>
        <v>9.0079999999999991</v>
      </c>
      <c r="I63" s="12">
        <v>0</v>
      </c>
      <c r="J63" s="61">
        <f>SUM(B63:I63)</f>
        <v>115678.88100000001</v>
      </c>
    </row>
    <row r="64" spans="1:10" s="2" customFormat="1" ht="24.95" customHeight="1">
      <c r="A64" s="47">
        <v>2020</v>
      </c>
      <c r="B64" s="12">
        <v>93065.536999999997</v>
      </c>
      <c r="C64" s="12">
        <v>0</v>
      </c>
      <c r="D64" s="12">
        <v>531.52499999999998</v>
      </c>
      <c r="E64" s="12">
        <v>0</v>
      </c>
      <c r="F64" s="12">
        <v>0</v>
      </c>
      <c r="G64" s="12">
        <v>182.39699999999999</v>
      </c>
      <c r="H64" s="12">
        <v>8.4990000000000006</v>
      </c>
      <c r="I64" s="12">
        <v>0.40500000000000003</v>
      </c>
      <c r="J64" s="61">
        <f>SUM(B64:I64)</f>
        <v>93788.362999999983</v>
      </c>
    </row>
    <row r="65" spans="1:10" s="2" customFormat="1" ht="24.95" customHeight="1">
      <c r="A65" s="47">
        <v>2021</v>
      </c>
      <c r="B65" s="12">
        <v>111091.349</v>
      </c>
      <c r="C65" s="12">
        <v>0</v>
      </c>
      <c r="D65" s="12">
        <v>511.10399999999998</v>
      </c>
      <c r="E65" s="12">
        <v>0</v>
      </c>
      <c r="F65" s="12">
        <v>0</v>
      </c>
      <c r="G65" s="12">
        <v>139.684</v>
      </c>
      <c r="H65" s="12">
        <v>9.11</v>
      </c>
      <c r="I65" s="12">
        <v>0</v>
      </c>
      <c r="J65" s="61">
        <f>SUM(B65:I65)</f>
        <v>111751.247</v>
      </c>
    </row>
    <row r="66" spans="1:10" s="2" customFormat="1" ht="24.95" customHeight="1">
      <c r="A66" s="47">
        <v>2022</v>
      </c>
      <c r="B66" s="12">
        <v>116915.739</v>
      </c>
      <c r="C66" s="12">
        <v>0</v>
      </c>
      <c r="D66" s="12">
        <v>543.29600000000005</v>
      </c>
      <c r="E66" s="12">
        <v>0.05</v>
      </c>
      <c r="F66" s="12">
        <v>0</v>
      </c>
      <c r="G66" s="12">
        <v>192.82400000000001</v>
      </c>
      <c r="H66" s="12">
        <f>10.203+1.812</f>
        <v>12.014999999999999</v>
      </c>
      <c r="I66" s="12">
        <v>2.4E-2</v>
      </c>
      <c r="J66" s="61">
        <f>SUM(B66:I66)</f>
        <v>117663.948</v>
      </c>
    </row>
    <row r="67" spans="1:10" s="2" customFormat="1" ht="24.95" customHeight="1">
      <c r="A67" s="47">
        <v>2023</v>
      </c>
      <c r="B67" s="12">
        <v>89907.334000000003</v>
      </c>
      <c r="C67" s="12">
        <v>0</v>
      </c>
      <c r="D67" s="12">
        <v>496.40199999999999</v>
      </c>
      <c r="E67" s="12">
        <v>0</v>
      </c>
      <c r="F67" s="12">
        <v>0</v>
      </c>
      <c r="G67" s="12">
        <v>181.619</v>
      </c>
      <c r="H67" s="12">
        <v>7.3769999999999998</v>
      </c>
      <c r="I67" s="12">
        <v>2.5000000000000001E-2</v>
      </c>
      <c r="J67" s="61">
        <f>SUM(B67:I67)</f>
        <v>90592.756999999998</v>
      </c>
    </row>
    <row r="68" spans="1:10" s="2" customFormat="1" ht="24.95" customHeight="1">
      <c r="A68" s="47">
        <v>2024</v>
      </c>
      <c r="B68" s="12">
        <v>80925.100000000006</v>
      </c>
      <c r="C68" s="12">
        <v>0</v>
      </c>
      <c r="D68" s="12">
        <v>478.214</v>
      </c>
      <c r="E68" s="12">
        <v>0</v>
      </c>
      <c r="F68" s="12">
        <v>0</v>
      </c>
      <c r="G68" s="12">
        <v>184.358</v>
      </c>
      <c r="H68" s="12">
        <f>7.364+1.436</f>
        <v>8.8000000000000007</v>
      </c>
      <c r="I68" s="12">
        <v>2.5000000000000001E-2</v>
      </c>
      <c r="J68" s="61">
        <f>SUM(B68:I68)</f>
        <v>81596.497000000003</v>
      </c>
    </row>
    <row r="69" spans="1:10" ht="24.75">
      <c r="A69" s="49"/>
      <c r="B69" s="10"/>
      <c r="C69" s="10"/>
      <c r="D69" s="10"/>
      <c r="E69" s="10"/>
      <c r="F69" s="10"/>
      <c r="G69" s="10"/>
      <c r="H69" s="10"/>
      <c r="I69" s="10"/>
      <c r="J69" s="11"/>
    </row>
    <row r="70" spans="1:10" ht="23.25">
      <c r="A70" s="52" t="s">
        <v>28</v>
      </c>
      <c r="B70" s="9"/>
      <c r="C70" s="9"/>
      <c r="D70" s="9"/>
      <c r="E70" s="9"/>
      <c r="J70" s="64"/>
    </row>
    <row r="71" spans="1:10" ht="24.75">
      <c r="A71" s="52" t="s">
        <v>29</v>
      </c>
      <c r="B71" s="10"/>
      <c r="C71" s="10"/>
      <c r="D71" s="10"/>
      <c r="E71" s="10"/>
      <c r="F71" s="10"/>
      <c r="G71" s="10"/>
      <c r="H71" s="10"/>
      <c r="I71" s="10"/>
      <c r="J71" s="11"/>
    </row>
    <row r="72" spans="1:10" ht="13.5" thickBot="1">
      <c r="A72" s="53"/>
      <c r="B72" s="44"/>
      <c r="C72" s="44"/>
      <c r="D72" s="44"/>
      <c r="E72" s="44"/>
      <c r="F72" s="44"/>
      <c r="G72" s="44"/>
      <c r="H72" s="44"/>
      <c r="I72" s="44"/>
      <c r="J72" s="45"/>
    </row>
  </sheetData>
  <mergeCells count="2">
    <mergeCell ref="G1:J1"/>
    <mergeCell ref="B7:J7"/>
  </mergeCells>
  <pageMargins left="0.78740157480314965" right="0.19685039370078741" top="0.78740157480314965" bottom="0.39370078740157483" header="0.51181102362204722" footer="0.51181102362204722"/>
  <pageSetup paperSize="9" scale="37" orientation="portrait" horizontalDpi="4294967292" verticalDpi="4294967292" r:id="rId1"/>
  <headerFooter alignWithMargins="0">
    <oddFooter>&amp;L&amp;"Arial,Standard"&amp;16Übersichten/Zeitreihen/Internet/&amp;F&amp;R&amp;"Arial,Standard"&amp;16Statistik der Kohlenwirtschaft e.V., Bergheim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6FC76-7C09-4184-B977-8EA2419973BE}">
  <sheetPr>
    <pageSetUpPr fitToPage="1"/>
  </sheetPr>
  <dimension ref="A1:J91"/>
  <sheetViews>
    <sheetView topLeftCell="A76" zoomScale="50" workbookViewId="0">
      <pane ySplit="1725" topLeftCell="A28" activePane="bottomLeft"/>
      <selection pane="bottomLeft" activeCell="H84" sqref="H84"/>
      <selection activeCell="E6" sqref="E6"/>
    </sheetView>
  </sheetViews>
  <sheetFormatPr defaultColWidth="11.42578125" defaultRowHeight="12.75"/>
  <cols>
    <col min="1" max="1" width="12.5703125" customWidth="1"/>
    <col min="2" max="10" width="20.7109375" style="3" customWidth="1"/>
  </cols>
  <sheetData>
    <row r="1" spans="1:10" ht="26.25" thickBot="1">
      <c r="G1" s="66" t="s">
        <v>0</v>
      </c>
      <c r="H1" s="66"/>
      <c r="I1" s="66"/>
      <c r="J1" s="66"/>
    </row>
    <row r="2" spans="1:10" s="1" customFormat="1" ht="35.1" customHeight="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s="5" customFormat="1" ht="24" thickBot="1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41"/>
    </row>
    <row r="4" spans="1:10" s="6" customFormat="1" ht="22.5" customHeight="1">
      <c r="A4" s="29" t="s">
        <v>3</v>
      </c>
      <c r="B4" s="30" t="s">
        <v>4</v>
      </c>
      <c r="C4" s="30" t="s">
        <v>8</v>
      </c>
      <c r="D4" s="30" t="s">
        <v>6</v>
      </c>
      <c r="E4" s="30" t="s">
        <v>7</v>
      </c>
      <c r="F4" s="30" t="s">
        <v>30</v>
      </c>
      <c r="G4" s="30" t="s">
        <v>10</v>
      </c>
      <c r="H4" s="30"/>
      <c r="I4" s="30" t="s">
        <v>11</v>
      </c>
      <c r="J4" s="31" t="s">
        <v>31</v>
      </c>
    </row>
    <row r="5" spans="1:10" s="6" customFormat="1" ht="22.5" customHeight="1">
      <c r="A5" s="32"/>
      <c r="B5" s="4" t="s">
        <v>12</v>
      </c>
      <c r="C5" s="4" t="s">
        <v>16</v>
      </c>
      <c r="D5" s="4" t="s">
        <v>14</v>
      </c>
      <c r="E5" s="4" t="s">
        <v>15</v>
      </c>
      <c r="F5" s="4" t="s">
        <v>15</v>
      </c>
      <c r="G5" s="4" t="s">
        <v>18</v>
      </c>
      <c r="H5" s="4" t="s">
        <v>19</v>
      </c>
      <c r="I5" s="4" t="s">
        <v>20</v>
      </c>
      <c r="J5" s="7" t="s">
        <v>32</v>
      </c>
    </row>
    <row r="6" spans="1:10" s="6" customFormat="1" ht="22.5" customHeight="1" thickBot="1">
      <c r="A6" s="33"/>
      <c r="B6" s="34" t="s">
        <v>21</v>
      </c>
      <c r="C6" s="34" t="s">
        <v>24</v>
      </c>
      <c r="D6" s="34"/>
      <c r="E6" s="34" t="s">
        <v>23</v>
      </c>
      <c r="F6" s="34" t="s">
        <v>33</v>
      </c>
      <c r="G6" s="34" t="s">
        <v>20</v>
      </c>
      <c r="H6" s="34"/>
      <c r="I6" s="34"/>
      <c r="J6" s="35" t="s">
        <v>34</v>
      </c>
    </row>
    <row r="7" spans="1:10" s="2" customFormat="1" ht="24.75">
      <c r="A7" s="46"/>
      <c r="B7" s="67" t="s">
        <v>35</v>
      </c>
      <c r="C7" s="68"/>
      <c r="D7" s="68"/>
      <c r="E7" s="68"/>
      <c r="F7" s="68"/>
      <c r="G7" s="68"/>
      <c r="H7" s="68"/>
      <c r="I7" s="68"/>
      <c r="J7" s="69"/>
    </row>
    <row r="8" spans="1:10" s="42" customFormat="1" ht="24.95" hidden="1" customHeight="1">
      <c r="A8" s="47">
        <v>1975</v>
      </c>
      <c r="B8" s="12">
        <v>460</v>
      </c>
      <c r="C8" s="12">
        <v>34</v>
      </c>
      <c r="D8" s="12">
        <v>128</v>
      </c>
      <c r="E8" s="12">
        <v>26</v>
      </c>
      <c r="F8" s="12">
        <v>3391</v>
      </c>
      <c r="G8" s="12">
        <v>173</v>
      </c>
      <c r="H8" s="12">
        <v>475</v>
      </c>
      <c r="I8" s="12">
        <v>4687</v>
      </c>
      <c r="J8" s="13">
        <v>181</v>
      </c>
    </row>
    <row r="9" spans="1:10" s="42" customFormat="1" ht="24.95" hidden="1" customHeight="1">
      <c r="A9" s="47">
        <v>1976</v>
      </c>
      <c r="B9" s="12">
        <v>453</v>
      </c>
      <c r="C9" s="12">
        <v>47</v>
      </c>
      <c r="D9" s="12">
        <v>83</v>
      </c>
      <c r="E9" s="12">
        <v>18</v>
      </c>
      <c r="F9" s="12">
        <v>2992</v>
      </c>
      <c r="G9" s="12">
        <v>179</v>
      </c>
      <c r="H9" s="12">
        <v>442</v>
      </c>
      <c r="I9" s="12">
        <v>4214</v>
      </c>
      <c r="J9" s="13">
        <v>170</v>
      </c>
    </row>
    <row r="10" spans="1:10" s="42" customFormat="1" ht="24.95" hidden="1" customHeight="1">
      <c r="A10" s="47">
        <v>1977</v>
      </c>
      <c r="B10" s="12">
        <v>462</v>
      </c>
      <c r="C10" s="12">
        <v>47</v>
      </c>
      <c r="D10" s="12">
        <v>84</v>
      </c>
      <c r="E10" s="12">
        <v>15</v>
      </c>
      <c r="F10" s="12">
        <v>2670</v>
      </c>
      <c r="G10" s="12">
        <v>171</v>
      </c>
      <c r="H10" s="12">
        <v>429</v>
      </c>
      <c r="I10" s="12">
        <v>3878</v>
      </c>
      <c r="J10" s="13">
        <v>180</v>
      </c>
    </row>
    <row r="11" spans="1:10" s="42" customFormat="1" ht="24.95" hidden="1" customHeight="1">
      <c r="A11" s="47">
        <v>1978</v>
      </c>
      <c r="B11" s="12">
        <v>497</v>
      </c>
      <c r="C11" s="12">
        <v>48</v>
      </c>
      <c r="D11" s="12">
        <v>73</v>
      </c>
      <c r="E11" s="12">
        <v>10</v>
      </c>
      <c r="F11" s="12">
        <v>2447</v>
      </c>
      <c r="G11" s="12">
        <v>151</v>
      </c>
      <c r="H11" s="12">
        <v>431</v>
      </c>
      <c r="I11" s="12">
        <v>3657</v>
      </c>
      <c r="J11" s="13">
        <v>172</v>
      </c>
    </row>
    <row r="12" spans="1:10" s="42" customFormat="1" ht="24.95" hidden="1" customHeight="1">
      <c r="A12" s="47">
        <v>1979</v>
      </c>
      <c r="B12" s="12">
        <v>513</v>
      </c>
      <c r="C12" s="12">
        <v>70</v>
      </c>
      <c r="D12" s="12">
        <v>78</v>
      </c>
      <c r="E12" s="12">
        <v>11</v>
      </c>
      <c r="F12" s="12">
        <v>3184</v>
      </c>
      <c r="G12" s="12">
        <v>182</v>
      </c>
      <c r="H12" s="12">
        <v>578</v>
      </c>
      <c r="I12" s="12">
        <v>4616</v>
      </c>
      <c r="J12" s="13">
        <v>150</v>
      </c>
    </row>
    <row r="13" spans="1:10" s="42" customFormat="1" ht="24.95" hidden="1" customHeight="1">
      <c r="A13" s="47">
        <v>1980</v>
      </c>
      <c r="B13" s="12">
        <v>440</v>
      </c>
      <c r="C13" s="12">
        <v>77</v>
      </c>
      <c r="D13" s="12">
        <v>67</v>
      </c>
      <c r="E13" s="12">
        <v>13</v>
      </c>
      <c r="F13" s="12">
        <v>2993</v>
      </c>
      <c r="G13" s="12">
        <v>147</v>
      </c>
      <c r="H13" s="12">
        <v>582</v>
      </c>
      <c r="I13" s="12">
        <v>4319</v>
      </c>
      <c r="J13" s="13">
        <v>135</v>
      </c>
    </row>
    <row r="14" spans="1:10" s="42" customFormat="1" ht="24.95" hidden="1" customHeight="1">
      <c r="A14" s="47">
        <v>1981</v>
      </c>
      <c r="B14" s="12">
        <v>397</v>
      </c>
      <c r="C14" s="12">
        <v>85</v>
      </c>
      <c r="D14" s="12">
        <v>118</v>
      </c>
      <c r="E14" s="12">
        <v>15</v>
      </c>
      <c r="F14" s="12">
        <v>2694</v>
      </c>
      <c r="G14" s="12">
        <v>142</v>
      </c>
      <c r="H14" s="12">
        <v>578</v>
      </c>
      <c r="I14" s="12">
        <v>4029</v>
      </c>
      <c r="J14" s="13">
        <v>127</v>
      </c>
    </row>
    <row r="15" spans="1:10" s="42" customFormat="1" ht="24.95" hidden="1" customHeight="1">
      <c r="A15" s="47">
        <v>1982</v>
      </c>
      <c r="B15" s="12">
        <v>420</v>
      </c>
      <c r="C15" s="12">
        <v>91</v>
      </c>
      <c r="D15" s="12">
        <v>187</v>
      </c>
      <c r="E15" s="12">
        <v>12</v>
      </c>
      <c r="F15" s="12">
        <v>2439</v>
      </c>
      <c r="G15" s="12">
        <v>170</v>
      </c>
      <c r="H15" s="12">
        <v>509</v>
      </c>
      <c r="I15" s="12">
        <v>3828</v>
      </c>
      <c r="J15" s="13">
        <v>120</v>
      </c>
    </row>
    <row r="16" spans="1:10" s="42" customFormat="1" ht="24.95" hidden="1" customHeight="1">
      <c r="A16" s="47">
        <v>1983</v>
      </c>
      <c r="B16" s="12">
        <v>412</v>
      </c>
      <c r="C16" s="12">
        <v>125</v>
      </c>
      <c r="D16" s="12">
        <v>205</v>
      </c>
      <c r="E16" s="12">
        <v>16</v>
      </c>
      <c r="F16" s="12">
        <v>2084</v>
      </c>
      <c r="G16" s="12">
        <v>192</v>
      </c>
      <c r="H16" s="12">
        <v>419</v>
      </c>
      <c r="I16" s="12">
        <v>3453</v>
      </c>
      <c r="J16" s="13">
        <v>124</v>
      </c>
    </row>
    <row r="17" spans="1:10" s="42" customFormat="1" ht="24.95" hidden="1" customHeight="1">
      <c r="A17" s="47">
        <v>1984</v>
      </c>
      <c r="B17" s="12">
        <v>426</v>
      </c>
      <c r="C17" s="12">
        <v>180</v>
      </c>
      <c r="D17" s="12">
        <v>266</v>
      </c>
      <c r="E17" s="12">
        <v>17</v>
      </c>
      <c r="F17" s="12">
        <v>2079</v>
      </c>
      <c r="G17" s="12">
        <v>226</v>
      </c>
      <c r="H17" s="12">
        <v>492</v>
      </c>
      <c r="I17" s="12">
        <v>3686</v>
      </c>
      <c r="J17" s="13">
        <v>127</v>
      </c>
    </row>
    <row r="18" spans="1:10" s="42" customFormat="1" ht="24.95" customHeight="1">
      <c r="A18" s="47">
        <v>1985</v>
      </c>
      <c r="B18" s="12">
        <v>392</v>
      </c>
      <c r="C18" s="12">
        <v>187</v>
      </c>
      <c r="D18" s="12">
        <v>299</v>
      </c>
      <c r="E18" s="12">
        <v>11</v>
      </c>
      <c r="F18" s="12">
        <v>2266</v>
      </c>
      <c r="G18" s="12">
        <v>234</v>
      </c>
      <c r="H18" s="12">
        <v>561</v>
      </c>
      <c r="I18" s="12">
        <v>3950</v>
      </c>
      <c r="J18" s="13">
        <v>117</v>
      </c>
    </row>
    <row r="19" spans="1:10" s="2" customFormat="1" ht="24.95" customHeight="1">
      <c r="A19" s="47">
        <v>1986</v>
      </c>
      <c r="B19" s="12">
        <v>386</v>
      </c>
      <c r="C19" s="12">
        <v>186</v>
      </c>
      <c r="D19" s="12">
        <v>228</v>
      </c>
      <c r="E19" s="12">
        <v>13</v>
      </c>
      <c r="F19" s="12">
        <v>2035</v>
      </c>
      <c r="G19" s="12">
        <v>198</v>
      </c>
      <c r="H19" s="12">
        <v>467</v>
      </c>
      <c r="I19" s="12">
        <v>3513</v>
      </c>
      <c r="J19" s="13">
        <v>88</v>
      </c>
    </row>
    <row r="20" spans="1:10" s="2" customFormat="1" ht="24.95" customHeight="1">
      <c r="A20" s="47">
        <v>1987</v>
      </c>
      <c r="B20" s="12">
        <v>149</v>
      </c>
      <c r="C20" s="12">
        <v>190</v>
      </c>
      <c r="D20" s="12">
        <v>244</v>
      </c>
      <c r="E20" s="12">
        <v>7</v>
      </c>
      <c r="F20" s="12">
        <v>1870</v>
      </c>
      <c r="G20" s="12">
        <v>209</v>
      </c>
      <c r="H20" s="12">
        <v>452</v>
      </c>
      <c r="I20" s="12">
        <v>3121</v>
      </c>
      <c r="J20" s="13">
        <v>81</v>
      </c>
    </row>
    <row r="21" spans="1:10" s="2" customFormat="1" ht="24.95" customHeight="1">
      <c r="A21" s="47">
        <v>1988</v>
      </c>
      <c r="B21" s="12">
        <v>36</v>
      </c>
      <c r="C21" s="12">
        <v>192</v>
      </c>
      <c r="D21" s="12">
        <v>246</v>
      </c>
      <c r="E21" s="12">
        <v>7</v>
      </c>
      <c r="F21" s="12">
        <v>1358</v>
      </c>
      <c r="G21" s="12">
        <v>187</v>
      </c>
      <c r="H21" s="12">
        <v>395</v>
      </c>
      <c r="I21" s="12">
        <v>2421</v>
      </c>
      <c r="J21" s="13">
        <v>69</v>
      </c>
    </row>
    <row r="22" spans="1:10" s="2" customFormat="1" ht="24.95" customHeight="1">
      <c r="A22" s="47">
        <v>1989</v>
      </c>
      <c r="B22" s="12">
        <v>29</v>
      </c>
      <c r="C22" s="12">
        <v>203</v>
      </c>
      <c r="D22" s="12">
        <v>250</v>
      </c>
      <c r="E22" s="12">
        <v>8</v>
      </c>
      <c r="F22" s="12">
        <v>1168</v>
      </c>
      <c r="G22" s="12">
        <v>183</v>
      </c>
      <c r="H22" s="12">
        <v>327</v>
      </c>
      <c r="I22" s="12">
        <v>2168</v>
      </c>
      <c r="J22" s="13">
        <v>61</v>
      </c>
    </row>
    <row r="23" spans="1:10" s="2" customFormat="1" ht="24.95" customHeight="1">
      <c r="A23" s="47">
        <v>1990</v>
      </c>
      <c r="B23" s="12">
        <v>45</v>
      </c>
      <c r="C23" s="12">
        <v>207</v>
      </c>
      <c r="D23" s="12">
        <v>243</v>
      </c>
      <c r="E23" s="12">
        <v>6</v>
      </c>
      <c r="F23" s="12">
        <v>1043</v>
      </c>
      <c r="G23" s="12">
        <v>201</v>
      </c>
      <c r="H23" s="12">
        <v>395</v>
      </c>
      <c r="I23" s="12">
        <v>2140</v>
      </c>
      <c r="J23" s="13">
        <v>56</v>
      </c>
    </row>
    <row r="24" spans="1:10" s="2" customFormat="1" ht="11.45" customHeight="1">
      <c r="A24" s="47"/>
      <c r="B24" s="12"/>
      <c r="C24" s="12"/>
      <c r="D24" s="12"/>
      <c r="E24" s="12"/>
      <c r="F24" s="12"/>
      <c r="G24" s="12"/>
      <c r="H24" s="12"/>
      <c r="I24" s="12"/>
      <c r="J24" s="13"/>
    </row>
    <row r="25" spans="1:10" s="2" customFormat="1" ht="24.95" customHeight="1">
      <c r="A25" s="47">
        <v>1991</v>
      </c>
      <c r="B25" s="12">
        <f t="shared" ref="B25:J36" si="0">SUM(B38+B51)</f>
        <v>39</v>
      </c>
      <c r="C25" s="12">
        <f t="shared" si="0"/>
        <v>315</v>
      </c>
      <c r="D25" s="12">
        <f t="shared" si="0"/>
        <v>329</v>
      </c>
      <c r="E25" s="12">
        <f t="shared" si="0"/>
        <v>53</v>
      </c>
      <c r="F25" s="12">
        <f t="shared" si="0"/>
        <v>14151</v>
      </c>
      <c r="G25" s="12">
        <f t="shared" si="0"/>
        <v>2476</v>
      </c>
      <c r="H25" s="12">
        <f t="shared" si="0"/>
        <v>878</v>
      </c>
      <c r="I25" s="12">
        <f t="shared" si="0"/>
        <v>18241</v>
      </c>
      <c r="J25" s="13">
        <f t="shared" si="0"/>
        <v>346</v>
      </c>
    </row>
    <row r="26" spans="1:10" s="2" customFormat="1" ht="24.95" customHeight="1">
      <c r="A26" s="47">
        <v>1992</v>
      </c>
      <c r="B26" s="12">
        <f t="shared" si="0"/>
        <v>33.004999999999995</v>
      </c>
      <c r="C26" s="12">
        <f t="shared" si="0"/>
        <v>236.185</v>
      </c>
      <c r="D26" s="12">
        <f t="shared" si="0"/>
        <v>296.26000000000005</v>
      </c>
      <c r="E26" s="12">
        <f t="shared" si="0"/>
        <v>25.279</v>
      </c>
      <c r="F26" s="12">
        <f t="shared" si="0"/>
        <v>8701.48</v>
      </c>
      <c r="G26" s="12">
        <f t="shared" si="0"/>
        <v>1235.5279999999998</v>
      </c>
      <c r="H26" s="12">
        <f t="shared" si="0"/>
        <v>566.52300000000002</v>
      </c>
      <c r="I26" s="12">
        <f t="shared" si="0"/>
        <v>11094.26</v>
      </c>
      <c r="J26" s="13">
        <f t="shared" si="0"/>
        <v>260.39</v>
      </c>
    </row>
    <row r="27" spans="1:10" s="2" customFormat="1" ht="24.95" customHeight="1">
      <c r="A27" s="47">
        <v>1993</v>
      </c>
      <c r="B27" s="12">
        <f t="shared" si="0"/>
        <v>0.69700000000000006</v>
      </c>
      <c r="C27" s="12">
        <f t="shared" si="0"/>
        <v>231.39600000000002</v>
      </c>
      <c r="D27" s="12">
        <f t="shared" si="0"/>
        <v>245.63500000000002</v>
      </c>
      <c r="E27" s="12">
        <f t="shared" si="0"/>
        <v>20.576999999999998</v>
      </c>
      <c r="F27" s="12">
        <f t="shared" si="0"/>
        <v>7548.0810000000001</v>
      </c>
      <c r="G27" s="12">
        <f t="shared" si="0"/>
        <v>827.29900000000009</v>
      </c>
      <c r="H27" s="12">
        <f t="shared" si="0"/>
        <v>503.02000000000004</v>
      </c>
      <c r="I27" s="12">
        <f t="shared" si="0"/>
        <v>9376.7049999999999</v>
      </c>
      <c r="J27" s="13">
        <f t="shared" si="0"/>
        <v>293</v>
      </c>
    </row>
    <row r="28" spans="1:10" s="2" customFormat="1" ht="24.95" customHeight="1">
      <c r="A28" s="47">
        <v>1994</v>
      </c>
      <c r="B28" s="12">
        <f t="shared" si="0"/>
        <v>0</v>
      </c>
      <c r="C28" s="12">
        <f t="shared" si="0"/>
        <v>222.298</v>
      </c>
      <c r="D28" s="12">
        <f t="shared" si="0"/>
        <v>207.88800000000001</v>
      </c>
      <c r="E28" s="12">
        <f t="shared" si="0"/>
        <v>13.464</v>
      </c>
      <c r="F28" s="12">
        <f t="shared" si="0"/>
        <v>5108.9830000000002</v>
      </c>
      <c r="G28" s="12">
        <f t="shared" si="0"/>
        <v>541.65599999999995</v>
      </c>
      <c r="H28" s="12">
        <f t="shared" si="0"/>
        <v>397.55700000000002</v>
      </c>
      <c r="I28" s="12">
        <f t="shared" si="0"/>
        <v>6491.8460000000005</v>
      </c>
      <c r="J28" s="13">
        <f t="shared" si="0"/>
        <v>153</v>
      </c>
    </row>
    <row r="29" spans="1:10" s="2" customFormat="1" ht="24.95" customHeight="1">
      <c r="A29" s="47">
        <v>1995</v>
      </c>
      <c r="B29" s="12">
        <f t="shared" si="0"/>
        <v>0.10299999999999999</v>
      </c>
      <c r="C29" s="12">
        <f t="shared" si="0"/>
        <v>211.559</v>
      </c>
      <c r="D29" s="12">
        <f t="shared" si="0"/>
        <v>240.77700000000002</v>
      </c>
      <c r="E29" s="12">
        <f t="shared" si="0"/>
        <v>7.4980000000000002</v>
      </c>
      <c r="F29" s="12">
        <f t="shared" si="0"/>
        <v>3616.0590000000002</v>
      </c>
      <c r="G29" s="12">
        <f t="shared" si="0"/>
        <v>513.20299999999997</v>
      </c>
      <c r="H29" s="12">
        <f t="shared" si="0"/>
        <v>297.63299999999998</v>
      </c>
      <c r="I29" s="12">
        <f t="shared" si="0"/>
        <v>4886.8320000000003</v>
      </c>
      <c r="J29" s="13">
        <f t="shared" si="0"/>
        <v>79.405000000000001</v>
      </c>
    </row>
    <row r="30" spans="1:10" s="2" customFormat="1" ht="24.95" customHeight="1">
      <c r="A30" s="47">
        <v>1996</v>
      </c>
      <c r="B30" s="12">
        <f t="shared" si="0"/>
        <v>0</v>
      </c>
      <c r="C30" s="12">
        <f t="shared" si="0"/>
        <v>169.988</v>
      </c>
      <c r="D30" s="12">
        <f t="shared" si="0"/>
        <v>249.69300000000001</v>
      </c>
      <c r="E30" s="12">
        <f t="shared" si="0"/>
        <v>5.6070000000000002</v>
      </c>
      <c r="F30" s="12">
        <f t="shared" si="0"/>
        <v>3448.8670000000002</v>
      </c>
      <c r="G30" s="12">
        <f t="shared" si="0"/>
        <v>575.46800000000007</v>
      </c>
      <c r="H30" s="12">
        <f t="shared" si="0"/>
        <v>315.16899999999998</v>
      </c>
      <c r="I30" s="12">
        <f t="shared" si="0"/>
        <v>4764.7919999999995</v>
      </c>
      <c r="J30" s="13">
        <f t="shared" si="0"/>
        <v>70.631</v>
      </c>
    </row>
    <row r="31" spans="1:10" s="2" customFormat="1" ht="24.95" customHeight="1">
      <c r="A31" s="47">
        <v>1997</v>
      </c>
      <c r="B31" s="12">
        <f t="shared" si="0"/>
        <v>7.4999999999999997E-2</v>
      </c>
      <c r="C31" s="12">
        <f t="shared" si="0"/>
        <v>183.50900000000001</v>
      </c>
      <c r="D31" s="12">
        <f t="shared" si="0"/>
        <v>253.05199999999999</v>
      </c>
      <c r="E31" s="12">
        <f t="shared" si="0"/>
        <v>19.291</v>
      </c>
      <c r="F31" s="12">
        <f t="shared" si="0"/>
        <v>2395.268</v>
      </c>
      <c r="G31" s="12">
        <f t="shared" si="0"/>
        <v>341.815</v>
      </c>
      <c r="H31" s="12">
        <f t="shared" si="0"/>
        <v>265.63900000000001</v>
      </c>
      <c r="I31" s="12">
        <f t="shared" si="0"/>
        <v>3458.6489999999999</v>
      </c>
      <c r="J31" s="13">
        <f t="shared" si="0"/>
        <v>44.429000000000002</v>
      </c>
    </row>
    <row r="32" spans="1:10" s="2" customFormat="1" ht="24.95" customHeight="1">
      <c r="A32" s="47">
        <v>1998</v>
      </c>
      <c r="B32" s="12">
        <f t="shared" si="0"/>
        <v>0</v>
      </c>
      <c r="C32" s="12">
        <f t="shared" si="0"/>
        <v>178.54899999999998</v>
      </c>
      <c r="D32" s="12">
        <f t="shared" si="0"/>
        <v>257.404</v>
      </c>
      <c r="E32" s="12">
        <f t="shared" si="0"/>
        <v>4.6970000000000001</v>
      </c>
      <c r="F32" s="12">
        <f t="shared" si="0"/>
        <v>1409.2269999999999</v>
      </c>
      <c r="G32" s="12">
        <f t="shared" si="0"/>
        <v>256.08600000000001</v>
      </c>
      <c r="H32" s="12">
        <f t="shared" si="0"/>
        <v>206.21</v>
      </c>
      <c r="I32" s="12">
        <f t="shared" si="0"/>
        <v>2312.1729999999998</v>
      </c>
      <c r="J32" s="13">
        <f t="shared" si="0"/>
        <v>37.615000000000002</v>
      </c>
    </row>
    <row r="33" spans="1:10" s="2" customFormat="1" ht="24.95" customHeight="1">
      <c r="A33" s="47">
        <v>1999</v>
      </c>
      <c r="B33" s="12">
        <f t="shared" si="0"/>
        <v>2.355</v>
      </c>
      <c r="C33" s="12">
        <f t="shared" si="0"/>
        <v>175.976</v>
      </c>
      <c r="D33" s="12">
        <f t="shared" si="0"/>
        <v>218.66499999999999</v>
      </c>
      <c r="E33" s="12">
        <f t="shared" si="0"/>
        <v>2.4E-2</v>
      </c>
      <c r="F33" s="12">
        <f t="shared" si="0"/>
        <v>1235.702</v>
      </c>
      <c r="G33" s="12">
        <f t="shared" si="0"/>
        <v>217.54499999999999</v>
      </c>
      <c r="H33" s="12">
        <f t="shared" si="0"/>
        <v>194.36099999999999</v>
      </c>
      <c r="I33" s="12">
        <f t="shared" si="0"/>
        <v>2044.6279999999997</v>
      </c>
      <c r="J33" s="13">
        <f t="shared" si="0"/>
        <v>31.929000000000002</v>
      </c>
    </row>
    <row r="34" spans="1:10" s="2" customFormat="1" ht="24.95" customHeight="1">
      <c r="A34" s="47">
        <v>2000</v>
      </c>
      <c r="B34" s="12">
        <f t="shared" si="0"/>
        <v>65.138000000000005</v>
      </c>
      <c r="C34" s="12">
        <f t="shared" si="0"/>
        <v>167.95699999999999</v>
      </c>
      <c r="D34" s="12">
        <f t="shared" si="0"/>
        <v>130.40799999999999</v>
      </c>
      <c r="E34" s="12">
        <f t="shared" si="0"/>
        <v>7.8E-2</v>
      </c>
      <c r="F34" s="12">
        <f t="shared" si="0"/>
        <v>1024.7080000000001</v>
      </c>
      <c r="G34" s="12">
        <f t="shared" si="0"/>
        <v>196.08199999999999</v>
      </c>
      <c r="H34" s="12">
        <f t="shared" si="0"/>
        <v>203.69299999999998</v>
      </c>
      <c r="I34" s="12">
        <f t="shared" si="0"/>
        <v>1788.0639999999999</v>
      </c>
      <c r="J34" s="13">
        <f t="shared" si="0"/>
        <v>25.754999999999999</v>
      </c>
    </row>
    <row r="35" spans="1:10" s="2" customFormat="1" ht="24.95" customHeight="1">
      <c r="A35" s="47">
        <v>2001</v>
      </c>
      <c r="B35" s="12">
        <f t="shared" si="0"/>
        <v>68.692999999999998</v>
      </c>
      <c r="C35" s="12">
        <f t="shared" si="0"/>
        <v>176.839</v>
      </c>
      <c r="D35" s="12">
        <f t="shared" si="0"/>
        <v>90.113</v>
      </c>
      <c r="E35" s="12">
        <f t="shared" si="0"/>
        <v>0.24099999999999999</v>
      </c>
      <c r="F35" s="12">
        <f t="shared" si="0"/>
        <v>981.88599999999997</v>
      </c>
      <c r="G35" s="12">
        <f t="shared" si="0"/>
        <v>173.07400000000001</v>
      </c>
      <c r="H35" s="12">
        <f t="shared" si="0"/>
        <v>202.07</v>
      </c>
      <c r="I35" s="12">
        <f t="shared" si="0"/>
        <v>1692.9159999999999</v>
      </c>
      <c r="J35" s="13">
        <f t="shared" si="0"/>
        <v>23.213000000000001</v>
      </c>
    </row>
    <row r="36" spans="1:10" s="2" customFormat="1" ht="24.95" customHeight="1">
      <c r="A36" s="47">
        <v>2002</v>
      </c>
      <c r="B36" s="12">
        <f t="shared" si="0"/>
        <v>49.542000000000002</v>
      </c>
      <c r="C36" s="12">
        <f t="shared" si="0"/>
        <v>183.67</v>
      </c>
      <c r="D36" s="12">
        <f t="shared" si="0"/>
        <v>77.391000000000005</v>
      </c>
      <c r="E36" s="12">
        <f t="shared" si="0"/>
        <v>0.626</v>
      </c>
      <c r="F36" s="12">
        <f t="shared" si="0"/>
        <v>887.13700000000006</v>
      </c>
      <c r="G36" s="12">
        <f t="shared" si="0"/>
        <v>166.20499999999998</v>
      </c>
      <c r="H36" s="12">
        <f t="shared" si="0"/>
        <v>171.91200000000001</v>
      </c>
      <c r="I36" s="12">
        <f>SUM(I49+I62)</f>
        <v>1536.4830000000002</v>
      </c>
      <c r="J36" s="13">
        <f t="shared" si="0"/>
        <v>19</v>
      </c>
    </row>
    <row r="37" spans="1:10" s="2" customFormat="1" ht="24.95" hidden="1" customHeight="1">
      <c r="A37" s="48"/>
      <c r="B37" s="14" t="s">
        <v>26</v>
      </c>
      <c r="C37" s="15"/>
      <c r="D37" s="15"/>
      <c r="E37" s="15"/>
      <c r="F37" s="15"/>
      <c r="G37" s="15"/>
      <c r="H37" s="15"/>
      <c r="I37" s="15"/>
      <c r="J37" s="16"/>
    </row>
    <row r="38" spans="1:10" s="2" customFormat="1" ht="24.95" hidden="1" customHeight="1">
      <c r="A38" s="47">
        <v>1991</v>
      </c>
      <c r="B38" s="12">
        <v>16</v>
      </c>
      <c r="C38" s="12">
        <v>192</v>
      </c>
      <c r="D38" s="12">
        <v>284</v>
      </c>
      <c r="E38" s="12">
        <v>9</v>
      </c>
      <c r="F38" s="12">
        <v>1540</v>
      </c>
      <c r="G38" s="12">
        <v>229</v>
      </c>
      <c r="H38" s="12">
        <v>532</v>
      </c>
      <c r="I38" s="12">
        <v>2802</v>
      </c>
      <c r="J38" s="13">
        <v>57</v>
      </c>
    </row>
    <row r="39" spans="1:10" s="2" customFormat="1" ht="24.95" hidden="1" customHeight="1">
      <c r="A39" s="47">
        <v>1992</v>
      </c>
      <c r="B39" s="12">
        <v>13.329000000000001</v>
      </c>
      <c r="C39" s="12">
        <v>200.51900000000001</v>
      </c>
      <c r="D39" s="12">
        <v>285.94600000000003</v>
      </c>
      <c r="E39" s="12">
        <v>10.135</v>
      </c>
      <c r="F39" s="12">
        <v>1257.4549999999999</v>
      </c>
      <c r="G39" s="12">
        <v>198.149</v>
      </c>
      <c r="H39" s="12">
        <v>364.52300000000002</v>
      </c>
      <c r="I39" s="12">
        <v>2330.056</v>
      </c>
      <c r="J39" s="13">
        <v>50.567999999999998</v>
      </c>
    </row>
    <row r="40" spans="1:10" s="2" customFormat="1" ht="24.95" hidden="1" customHeight="1">
      <c r="A40" s="47">
        <v>1993</v>
      </c>
      <c r="B40" s="17">
        <v>-6.43</v>
      </c>
      <c r="C40" s="12">
        <v>205.88800000000001</v>
      </c>
      <c r="D40" s="12">
        <v>241.16300000000001</v>
      </c>
      <c r="E40" s="12">
        <v>9.51</v>
      </c>
      <c r="F40" s="12">
        <v>1182.374</v>
      </c>
      <c r="G40" s="12">
        <v>199.23400000000001</v>
      </c>
      <c r="H40" s="12">
        <v>328.64800000000002</v>
      </c>
      <c r="I40" s="12">
        <f>SUM(B40:H40)</f>
        <v>2160.3870000000002</v>
      </c>
      <c r="J40" s="13">
        <v>45</v>
      </c>
    </row>
    <row r="41" spans="1:10" s="2" customFormat="1" ht="24.95" hidden="1" customHeight="1">
      <c r="A41" s="47">
        <v>1994</v>
      </c>
      <c r="B41" s="17">
        <v>0</v>
      </c>
      <c r="C41" s="12">
        <v>192.14599999999999</v>
      </c>
      <c r="D41" s="12">
        <v>203.92400000000001</v>
      </c>
      <c r="E41" s="12">
        <v>7.8570000000000002</v>
      </c>
      <c r="F41" s="12">
        <v>907.50599999999997</v>
      </c>
      <c r="G41" s="12">
        <v>189.309</v>
      </c>
      <c r="H41" s="12">
        <v>267.71800000000002</v>
      </c>
      <c r="I41" s="12">
        <v>1768.46</v>
      </c>
      <c r="J41" s="13">
        <v>40</v>
      </c>
    </row>
    <row r="42" spans="1:10" s="2" customFormat="1" ht="24.75" hidden="1" customHeight="1">
      <c r="A42" s="47">
        <v>1995</v>
      </c>
      <c r="B42" s="12">
        <v>0.10299999999999999</v>
      </c>
      <c r="C42" s="12">
        <v>199.267</v>
      </c>
      <c r="D42" s="12">
        <v>237.76400000000001</v>
      </c>
      <c r="E42" s="12">
        <v>0</v>
      </c>
      <c r="F42" s="12">
        <v>721.92899999999997</v>
      </c>
      <c r="G42" s="12">
        <v>218.37100000000001</v>
      </c>
      <c r="H42" s="12">
        <v>206.68899999999999</v>
      </c>
      <c r="I42" s="12">
        <f t="shared" ref="I42:I47" si="1">SUM(B42:H42)</f>
        <v>1584.1230000000003</v>
      </c>
      <c r="J42" s="13">
        <v>33.802</v>
      </c>
    </row>
    <row r="43" spans="1:10" s="2" customFormat="1" ht="24.95" hidden="1" customHeight="1">
      <c r="A43" s="47">
        <v>1996</v>
      </c>
      <c r="B43" s="12">
        <v>0</v>
      </c>
      <c r="C43" s="12">
        <v>157.70500000000001</v>
      </c>
      <c r="D43" s="12">
        <v>247.488</v>
      </c>
      <c r="E43" s="12">
        <v>0</v>
      </c>
      <c r="F43" s="12">
        <v>841.005</v>
      </c>
      <c r="G43" s="12">
        <v>196.56</v>
      </c>
      <c r="H43" s="12">
        <v>219.541</v>
      </c>
      <c r="I43" s="12">
        <f t="shared" si="1"/>
        <v>1662.2989999999998</v>
      </c>
      <c r="J43" s="13">
        <v>31.105</v>
      </c>
    </row>
    <row r="44" spans="1:10" s="2" customFormat="1" ht="24.95" hidden="1" customHeight="1">
      <c r="A44" s="47">
        <v>1997</v>
      </c>
      <c r="B44" s="12">
        <v>0</v>
      </c>
      <c r="C44" s="12">
        <v>174.18</v>
      </c>
      <c r="D44" s="12">
        <v>252.42</v>
      </c>
      <c r="E44" s="12">
        <v>0</v>
      </c>
      <c r="F44" s="12">
        <v>741.56299999999999</v>
      </c>
      <c r="G44" s="12">
        <v>108.93600000000001</v>
      </c>
      <c r="H44" s="12">
        <v>189.239</v>
      </c>
      <c r="I44" s="12">
        <f t="shared" si="1"/>
        <v>1466.338</v>
      </c>
      <c r="J44" s="13">
        <v>17.675999999999998</v>
      </c>
    </row>
    <row r="45" spans="1:10" s="2" customFormat="1" ht="24.95" hidden="1" customHeight="1">
      <c r="A45" s="47">
        <v>1998</v>
      </c>
      <c r="B45" s="12">
        <v>0</v>
      </c>
      <c r="C45" s="12">
        <v>170.00299999999999</v>
      </c>
      <c r="D45" s="12">
        <v>257.2</v>
      </c>
      <c r="E45" s="12">
        <v>0</v>
      </c>
      <c r="F45" s="12">
        <v>529.56600000000003</v>
      </c>
      <c r="G45" s="12">
        <v>93.016000000000005</v>
      </c>
      <c r="H45" s="12">
        <v>150.447</v>
      </c>
      <c r="I45" s="12">
        <f t="shared" si="1"/>
        <v>1200.232</v>
      </c>
      <c r="J45" s="13">
        <v>19.98</v>
      </c>
    </row>
    <row r="46" spans="1:10" s="2" customFormat="1" ht="24.95" hidden="1" customHeight="1">
      <c r="A46" s="47">
        <v>1999</v>
      </c>
      <c r="B46" s="12">
        <v>0</v>
      </c>
      <c r="C46" s="12">
        <v>175.60900000000001</v>
      </c>
      <c r="D46" s="12">
        <v>218.66499999999999</v>
      </c>
      <c r="E46" s="12">
        <v>0</v>
      </c>
      <c r="F46" s="12">
        <v>516.74199999999996</v>
      </c>
      <c r="G46" s="12">
        <v>84.22</v>
      </c>
      <c r="H46" s="12">
        <v>140.547</v>
      </c>
      <c r="I46" s="12">
        <f t="shared" si="1"/>
        <v>1135.7829999999999</v>
      </c>
      <c r="J46" s="13">
        <v>17.448</v>
      </c>
    </row>
    <row r="47" spans="1:10" s="2" customFormat="1" ht="24.95" hidden="1" customHeight="1">
      <c r="A47" s="47">
        <v>2000</v>
      </c>
      <c r="B47" s="12">
        <v>53.305</v>
      </c>
      <c r="C47" s="12">
        <v>167.95699999999999</v>
      </c>
      <c r="D47" s="12">
        <v>130.40799999999999</v>
      </c>
      <c r="E47" s="12">
        <v>0</v>
      </c>
      <c r="F47" s="12">
        <v>470.88400000000001</v>
      </c>
      <c r="G47" s="12">
        <v>67.787999999999997</v>
      </c>
      <c r="H47" s="12">
        <v>158.69399999999999</v>
      </c>
      <c r="I47" s="12">
        <f t="shared" si="1"/>
        <v>1049.0360000000001</v>
      </c>
      <c r="J47" s="13">
        <v>13.391999999999999</v>
      </c>
    </row>
    <row r="48" spans="1:10" s="2" customFormat="1" ht="24.95" hidden="1" customHeight="1">
      <c r="A48" s="47">
        <v>2001</v>
      </c>
      <c r="B48" s="12">
        <v>66.231999999999999</v>
      </c>
      <c r="C48" s="12">
        <v>176.50800000000001</v>
      </c>
      <c r="D48" s="12">
        <v>90.113</v>
      </c>
      <c r="E48" s="12">
        <v>0</v>
      </c>
      <c r="F48" s="12">
        <v>422.83100000000002</v>
      </c>
      <c r="G48" s="12">
        <v>66.483000000000004</v>
      </c>
      <c r="H48" s="12">
        <v>162.35</v>
      </c>
      <c r="I48" s="12">
        <f>SUM(B48:H48)</f>
        <v>984.51699999999994</v>
      </c>
      <c r="J48" s="13">
        <v>11.878</v>
      </c>
    </row>
    <row r="49" spans="1:10" s="2" customFormat="1" ht="24.95" hidden="1" customHeight="1">
      <c r="A49" s="47">
        <v>2002</v>
      </c>
      <c r="B49" s="12">
        <v>48.712000000000003</v>
      </c>
      <c r="C49" s="12">
        <v>183.67</v>
      </c>
      <c r="D49" s="12">
        <v>77.391000000000005</v>
      </c>
      <c r="E49" s="12">
        <v>0</v>
      </c>
      <c r="F49" s="12">
        <v>343.77800000000002</v>
      </c>
      <c r="G49" s="12">
        <v>79.555999999999997</v>
      </c>
      <c r="H49" s="12">
        <v>136.298</v>
      </c>
      <c r="I49" s="12">
        <f>SUM(B49:H49)</f>
        <v>869.40500000000009</v>
      </c>
      <c r="J49" s="13">
        <v>8</v>
      </c>
    </row>
    <row r="50" spans="1:10" s="2" customFormat="1" ht="24.95" hidden="1" customHeight="1">
      <c r="A50" s="47"/>
      <c r="B50" s="18" t="s">
        <v>27</v>
      </c>
      <c r="C50" s="15"/>
      <c r="D50" s="15"/>
      <c r="E50" s="15"/>
      <c r="F50" s="15"/>
      <c r="G50" s="15"/>
      <c r="H50" s="15"/>
      <c r="I50" s="15"/>
      <c r="J50" s="16"/>
    </row>
    <row r="51" spans="1:10" s="2" customFormat="1" ht="24.95" hidden="1" customHeight="1">
      <c r="A51" s="47">
        <v>1991</v>
      </c>
      <c r="B51" s="12">
        <v>23</v>
      </c>
      <c r="C51" s="12">
        <v>123</v>
      </c>
      <c r="D51" s="12">
        <v>45</v>
      </c>
      <c r="E51" s="12">
        <v>44</v>
      </c>
      <c r="F51" s="12">
        <v>12611</v>
      </c>
      <c r="G51" s="12">
        <v>2247</v>
      </c>
      <c r="H51" s="12">
        <v>346</v>
      </c>
      <c r="I51" s="12">
        <v>15439</v>
      </c>
      <c r="J51" s="13">
        <v>289</v>
      </c>
    </row>
    <row r="52" spans="1:10" s="2" customFormat="1" ht="24.95" hidden="1" customHeight="1">
      <c r="A52" s="47">
        <v>1992</v>
      </c>
      <c r="B52" s="12">
        <v>19.675999999999998</v>
      </c>
      <c r="C52" s="12">
        <v>35.665999999999997</v>
      </c>
      <c r="D52" s="12">
        <v>10.314</v>
      </c>
      <c r="E52" s="12">
        <v>15.144</v>
      </c>
      <c r="F52" s="12">
        <v>7444.0249999999996</v>
      </c>
      <c r="G52" s="12">
        <v>1037.3789999999999</v>
      </c>
      <c r="H52" s="12">
        <v>202</v>
      </c>
      <c r="I52" s="12">
        <v>8764.2039999999997</v>
      </c>
      <c r="J52" s="13">
        <v>209.822</v>
      </c>
    </row>
    <row r="53" spans="1:10" s="2" customFormat="1" ht="24.95" hidden="1" customHeight="1">
      <c r="A53" s="47">
        <v>1993</v>
      </c>
      <c r="B53" s="12">
        <v>7.1269999999999998</v>
      </c>
      <c r="C53" s="12">
        <v>25.507999999999999</v>
      </c>
      <c r="D53" s="12">
        <v>4.4720000000000004</v>
      </c>
      <c r="E53" s="12">
        <v>11.067</v>
      </c>
      <c r="F53" s="12">
        <v>6365.7070000000003</v>
      </c>
      <c r="G53" s="12">
        <v>628.06500000000005</v>
      </c>
      <c r="H53" s="12">
        <v>174.37200000000001</v>
      </c>
      <c r="I53" s="12">
        <f>SUM(B53:H53)</f>
        <v>7216.3180000000002</v>
      </c>
      <c r="J53" s="13">
        <v>248</v>
      </c>
    </row>
    <row r="54" spans="1:10" s="2" customFormat="1" ht="24.95" hidden="1" customHeight="1">
      <c r="A54" s="47">
        <v>1994</v>
      </c>
      <c r="B54" s="12">
        <v>0</v>
      </c>
      <c r="C54" s="12">
        <v>30.152000000000001</v>
      </c>
      <c r="D54" s="12">
        <v>3.964</v>
      </c>
      <c r="E54" s="12">
        <v>5.6070000000000002</v>
      </c>
      <c r="F54" s="12">
        <v>4201.4769999999999</v>
      </c>
      <c r="G54" s="12">
        <v>352.34699999999998</v>
      </c>
      <c r="H54" s="12">
        <v>129.839</v>
      </c>
      <c r="I54" s="12">
        <v>4723.3860000000004</v>
      </c>
      <c r="J54" s="13">
        <v>113</v>
      </c>
    </row>
    <row r="55" spans="1:10" s="2" customFormat="1" ht="24.95" hidden="1" customHeight="1">
      <c r="A55" s="47">
        <v>1995</v>
      </c>
      <c r="B55" s="12">
        <v>0</v>
      </c>
      <c r="C55" s="12">
        <v>12.292</v>
      </c>
      <c r="D55" s="12">
        <v>3.0129999999999999</v>
      </c>
      <c r="E55" s="12">
        <v>7.4980000000000002</v>
      </c>
      <c r="F55" s="12">
        <v>2894.13</v>
      </c>
      <c r="G55" s="12">
        <v>294.83199999999999</v>
      </c>
      <c r="H55" s="12">
        <v>90.944000000000003</v>
      </c>
      <c r="I55" s="12">
        <f t="shared" ref="I55:I75" si="2">SUM(B55:H55)</f>
        <v>3302.7089999999998</v>
      </c>
      <c r="J55" s="13">
        <v>45.603000000000002</v>
      </c>
    </row>
    <row r="56" spans="1:10" s="2" customFormat="1" ht="24.95" hidden="1" customHeight="1">
      <c r="A56" s="47">
        <v>1996</v>
      </c>
      <c r="B56" s="12">
        <v>0</v>
      </c>
      <c r="C56" s="12">
        <v>12.282999999999999</v>
      </c>
      <c r="D56" s="12">
        <v>2.2050000000000001</v>
      </c>
      <c r="E56" s="12">
        <v>5.6070000000000002</v>
      </c>
      <c r="F56" s="12">
        <v>2607.8620000000001</v>
      </c>
      <c r="G56" s="12">
        <v>378.90800000000002</v>
      </c>
      <c r="H56" s="12">
        <v>95.628</v>
      </c>
      <c r="I56" s="12">
        <f t="shared" si="2"/>
        <v>3102.4929999999999</v>
      </c>
      <c r="J56" s="13">
        <v>39.526000000000003</v>
      </c>
    </row>
    <row r="57" spans="1:10" s="2" customFormat="1" ht="24.95" hidden="1" customHeight="1">
      <c r="A57" s="47">
        <v>1997</v>
      </c>
      <c r="B57" s="12">
        <v>7.4999999999999997E-2</v>
      </c>
      <c r="C57" s="12">
        <v>9.3290000000000006</v>
      </c>
      <c r="D57" s="12">
        <v>0.63200000000000001</v>
      </c>
      <c r="E57" s="12">
        <v>19.291</v>
      </c>
      <c r="F57" s="12">
        <v>1653.7049999999999</v>
      </c>
      <c r="G57" s="12">
        <v>232.87899999999999</v>
      </c>
      <c r="H57" s="12">
        <v>76.400000000000006</v>
      </c>
      <c r="I57" s="12">
        <f t="shared" si="2"/>
        <v>1992.3109999999999</v>
      </c>
      <c r="J57" s="13">
        <v>26.753</v>
      </c>
    </row>
    <row r="58" spans="1:10" s="2" customFormat="1" ht="24.95" hidden="1" customHeight="1">
      <c r="A58" s="47">
        <v>1998</v>
      </c>
      <c r="B58" s="12">
        <v>0</v>
      </c>
      <c r="C58" s="12">
        <v>8.5459999999999994</v>
      </c>
      <c r="D58" s="12">
        <v>0.20399999999999999</v>
      </c>
      <c r="E58" s="12">
        <v>4.6970000000000001</v>
      </c>
      <c r="F58" s="12">
        <v>879.66099999999994</v>
      </c>
      <c r="G58" s="12">
        <v>163.07</v>
      </c>
      <c r="H58" s="12">
        <v>55.762999999999998</v>
      </c>
      <c r="I58" s="12">
        <f t="shared" si="2"/>
        <v>1111.9409999999998</v>
      </c>
      <c r="J58" s="13">
        <v>17.635000000000002</v>
      </c>
    </row>
    <row r="59" spans="1:10" s="2" customFormat="1" ht="24.95" hidden="1" customHeight="1">
      <c r="A59" s="47">
        <v>1999</v>
      </c>
      <c r="B59" s="12">
        <v>2.355</v>
      </c>
      <c r="C59" s="12">
        <v>0.36699999999999999</v>
      </c>
      <c r="D59" s="12">
        <v>0</v>
      </c>
      <c r="E59" s="12">
        <v>2.4E-2</v>
      </c>
      <c r="F59" s="12">
        <v>718.96</v>
      </c>
      <c r="G59" s="12">
        <v>133.32499999999999</v>
      </c>
      <c r="H59" s="12">
        <v>53.814</v>
      </c>
      <c r="I59" s="12">
        <f t="shared" si="2"/>
        <v>908.84499999999991</v>
      </c>
      <c r="J59" s="13">
        <v>14.481</v>
      </c>
    </row>
    <row r="60" spans="1:10" s="2" customFormat="1" ht="24.95" hidden="1" customHeight="1">
      <c r="A60" s="47">
        <v>2000</v>
      </c>
      <c r="B60" s="12">
        <v>11.833</v>
      </c>
      <c r="C60" s="12">
        <v>0</v>
      </c>
      <c r="D60" s="12">
        <v>0</v>
      </c>
      <c r="E60" s="12">
        <v>7.8E-2</v>
      </c>
      <c r="F60" s="12">
        <v>553.82399999999996</v>
      </c>
      <c r="G60" s="12">
        <v>128.29400000000001</v>
      </c>
      <c r="H60" s="12">
        <v>44.999000000000002</v>
      </c>
      <c r="I60" s="12">
        <f t="shared" si="2"/>
        <v>739.02799999999991</v>
      </c>
      <c r="J60" s="13">
        <v>12.363</v>
      </c>
    </row>
    <row r="61" spans="1:10" s="2" customFormat="1" ht="24.95" hidden="1" customHeight="1">
      <c r="A61" s="47">
        <v>2001</v>
      </c>
      <c r="B61" s="12">
        <v>2.4609999999999999</v>
      </c>
      <c r="C61" s="12">
        <v>0.33100000000000002</v>
      </c>
      <c r="D61" s="12">
        <v>0</v>
      </c>
      <c r="E61" s="12">
        <v>0.24099999999999999</v>
      </c>
      <c r="F61" s="12">
        <v>559.05499999999995</v>
      </c>
      <c r="G61" s="12">
        <v>106.59099999999999</v>
      </c>
      <c r="H61" s="12">
        <v>39.72</v>
      </c>
      <c r="I61" s="12">
        <v>708.399</v>
      </c>
      <c r="J61" s="13">
        <v>11.335000000000001</v>
      </c>
    </row>
    <row r="62" spans="1:10" s="2" customFormat="1" ht="24.95" hidden="1" customHeight="1">
      <c r="A62" s="47">
        <v>2002</v>
      </c>
      <c r="B62" s="12">
        <v>0.83</v>
      </c>
      <c r="C62" s="12">
        <v>0</v>
      </c>
      <c r="D62" s="12">
        <v>0</v>
      </c>
      <c r="E62" s="12">
        <v>0.626</v>
      </c>
      <c r="F62" s="12">
        <v>543.35900000000004</v>
      </c>
      <c r="G62" s="12">
        <v>86.649000000000001</v>
      </c>
      <c r="H62" s="12">
        <v>35.613999999999997</v>
      </c>
      <c r="I62" s="12">
        <f t="shared" si="2"/>
        <v>667.07800000000009</v>
      </c>
      <c r="J62" s="13">
        <v>11</v>
      </c>
    </row>
    <row r="63" spans="1:10" s="2" customFormat="1" ht="24.95" customHeight="1">
      <c r="A63" s="47">
        <v>2003</v>
      </c>
      <c r="B63" s="12">
        <v>8.7219999999999995</v>
      </c>
      <c r="C63" s="12">
        <v>173.517</v>
      </c>
      <c r="D63" s="12">
        <v>58.832999999999998</v>
      </c>
      <c r="E63" s="12">
        <v>2.1459999999999999</v>
      </c>
      <c r="F63" s="12">
        <v>861.36699999999996</v>
      </c>
      <c r="G63" s="12">
        <v>177.96100000000001</v>
      </c>
      <c r="H63" s="12">
        <v>192.37700000000001</v>
      </c>
      <c r="I63" s="12">
        <f>SUM(B63:H63)</f>
        <v>1474.923</v>
      </c>
      <c r="J63" s="13">
        <v>20.471</v>
      </c>
    </row>
    <row r="64" spans="1:10" s="2" customFormat="1" ht="24.95" customHeight="1">
      <c r="A64" s="47">
        <v>2004</v>
      </c>
      <c r="B64" s="12">
        <v>0</v>
      </c>
      <c r="C64" s="12">
        <v>176</v>
      </c>
      <c r="D64" s="12">
        <v>50</v>
      </c>
      <c r="E64" s="12">
        <v>0</v>
      </c>
      <c r="F64" s="12">
        <v>767</v>
      </c>
      <c r="G64" s="12">
        <v>218</v>
      </c>
      <c r="H64" s="12">
        <v>190</v>
      </c>
      <c r="I64" s="12">
        <f t="shared" si="2"/>
        <v>1401</v>
      </c>
      <c r="J64" s="13">
        <v>14</v>
      </c>
    </row>
    <row r="65" spans="1:10" s="2" customFormat="1" ht="24.95" customHeight="1">
      <c r="A65" s="47">
        <v>2005</v>
      </c>
      <c r="B65" s="12">
        <v>0</v>
      </c>
      <c r="C65" s="12">
        <v>169.791</v>
      </c>
      <c r="D65" s="12">
        <v>55.707000000000001</v>
      </c>
      <c r="E65" s="12">
        <v>0</v>
      </c>
      <c r="F65" s="12">
        <v>765.54499999999996</v>
      </c>
      <c r="G65" s="12">
        <v>250.685</v>
      </c>
      <c r="H65" s="12">
        <v>222.28200000000001</v>
      </c>
      <c r="I65" s="12">
        <f t="shared" si="2"/>
        <v>1464.0099999999998</v>
      </c>
      <c r="J65" s="13">
        <v>12.769</v>
      </c>
    </row>
    <row r="66" spans="1:10" s="2" customFormat="1" ht="24.95" customHeight="1">
      <c r="A66" s="47">
        <v>2006</v>
      </c>
      <c r="B66" s="12">
        <v>0</v>
      </c>
      <c r="C66" s="12">
        <v>177.73</v>
      </c>
      <c r="D66" s="12">
        <v>53.238999999999997</v>
      </c>
      <c r="E66" s="12">
        <v>0</v>
      </c>
      <c r="F66" s="12">
        <v>852.81299999999999</v>
      </c>
      <c r="G66" s="12">
        <v>213.61099999999999</v>
      </c>
      <c r="H66" s="12">
        <v>291.58499999999998</v>
      </c>
      <c r="I66" s="12">
        <f t="shared" si="2"/>
        <v>1588.9780000000001</v>
      </c>
      <c r="J66" s="13">
        <v>13</v>
      </c>
    </row>
    <row r="67" spans="1:10" s="2" customFormat="1" ht="24.95" customHeight="1">
      <c r="A67" s="47">
        <v>2007</v>
      </c>
      <c r="B67" s="12">
        <v>0</v>
      </c>
      <c r="C67" s="12">
        <v>183.88900000000001</v>
      </c>
      <c r="D67" s="12">
        <v>48.015999999999998</v>
      </c>
      <c r="E67" s="12">
        <v>0</v>
      </c>
      <c r="F67" s="12">
        <v>589.66</v>
      </c>
      <c r="G67" s="12">
        <v>227.31800000000001</v>
      </c>
      <c r="H67" s="12">
        <v>273.94799999999998</v>
      </c>
      <c r="I67" s="12">
        <f t="shared" si="2"/>
        <v>1322.8310000000001</v>
      </c>
      <c r="J67" s="13">
        <v>12.188000000000001</v>
      </c>
    </row>
    <row r="68" spans="1:10" s="2" customFormat="1" ht="24.95" customHeight="1">
      <c r="A68" s="47">
        <v>2008</v>
      </c>
      <c r="B68" s="12">
        <v>11.964</v>
      </c>
      <c r="C68" s="12">
        <v>183.363</v>
      </c>
      <c r="D68" s="12">
        <v>20.783999999999999</v>
      </c>
      <c r="E68" s="12">
        <v>0.45500000000000002</v>
      </c>
      <c r="F68" s="12">
        <v>944.26700000000005</v>
      </c>
      <c r="G68" s="12">
        <v>176.56700000000001</v>
      </c>
      <c r="H68" s="12">
        <v>349.73099999999999</v>
      </c>
      <c r="I68" s="12">
        <f t="shared" si="2"/>
        <v>1687.1310000000001</v>
      </c>
      <c r="J68" s="13">
        <v>13</v>
      </c>
    </row>
    <row r="69" spans="1:10" s="2" customFormat="1" ht="24.95" customHeight="1">
      <c r="A69" s="47">
        <v>2009</v>
      </c>
      <c r="B69" s="12">
        <v>13.364000000000001</v>
      </c>
      <c r="C69" s="12">
        <v>181.24</v>
      </c>
      <c r="D69" s="12">
        <v>2.27</v>
      </c>
      <c r="E69" s="12">
        <v>0</v>
      </c>
      <c r="F69" s="12">
        <v>1017.24</v>
      </c>
      <c r="G69" s="12">
        <v>186.374</v>
      </c>
      <c r="H69" s="12">
        <v>497.43099999999998</v>
      </c>
      <c r="I69" s="12">
        <f t="shared" si="2"/>
        <v>1897.9190000000001</v>
      </c>
      <c r="J69" s="13">
        <v>12</v>
      </c>
    </row>
    <row r="70" spans="1:10" s="2" customFormat="1" ht="24.95" customHeight="1">
      <c r="A70" s="47">
        <v>2010</v>
      </c>
      <c r="B70" s="12">
        <v>18</v>
      </c>
      <c r="C70" s="12">
        <v>208</v>
      </c>
      <c r="D70" s="12">
        <v>15</v>
      </c>
      <c r="E70" s="12">
        <v>0</v>
      </c>
      <c r="F70" s="12">
        <v>1092</v>
      </c>
      <c r="G70" s="12">
        <v>190</v>
      </c>
      <c r="H70" s="12">
        <v>497</v>
      </c>
      <c r="I70" s="12">
        <f t="shared" si="2"/>
        <v>2020</v>
      </c>
      <c r="J70" s="13">
        <v>13</v>
      </c>
    </row>
    <row r="71" spans="1:10" s="2" customFormat="1" ht="24.95" customHeight="1">
      <c r="A71" s="47">
        <v>2011</v>
      </c>
      <c r="B71" s="12">
        <v>21</v>
      </c>
      <c r="C71" s="12">
        <v>223</v>
      </c>
      <c r="D71" s="12">
        <v>20</v>
      </c>
      <c r="E71" s="12">
        <v>0</v>
      </c>
      <c r="F71" s="12">
        <v>964</v>
      </c>
      <c r="G71" s="12">
        <v>215</v>
      </c>
      <c r="H71" s="12">
        <v>496</v>
      </c>
      <c r="I71" s="12">
        <f t="shared" si="2"/>
        <v>1939</v>
      </c>
      <c r="J71" s="13">
        <v>12</v>
      </c>
    </row>
    <row r="72" spans="1:10" s="2" customFormat="1" ht="24.95" customHeight="1">
      <c r="A72" s="47">
        <v>2012</v>
      </c>
      <c r="B72" s="12">
        <v>32</v>
      </c>
      <c r="C72" s="12">
        <v>233</v>
      </c>
      <c r="D72" s="12">
        <v>20</v>
      </c>
      <c r="E72" s="12">
        <v>0</v>
      </c>
      <c r="F72" s="12">
        <v>965</v>
      </c>
      <c r="G72" s="12">
        <v>241</v>
      </c>
      <c r="H72" s="12">
        <v>492</v>
      </c>
      <c r="I72" s="12">
        <f t="shared" si="2"/>
        <v>1983</v>
      </c>
      <c r="J72" s="13">
        <v>13</v>
      </c>
    </row>
    <row r="73" spans="1:10" s="2" customFormat="1" ht="24.95" customHeight="1">
      <c r="A73" s="47">
        <v>2013</v>
      </c>
      <c r="B73" s="12">
        <v>26.417000000000002</v>
      </c>
      <c r="C73" s="12">
        <v>237.24700000000001</v>
      </c>
      <c r="D73" s="12">
        <v>18.308</v>
      </c>
      <c r="E73" s="12">
        <v>0</v>
      </c>
      <c r="F73" s="12">
        <v>998.38699999999994</v>
      </c>
      <c r="G73" s="12">
        <v>232.661</v>
      </c>
      <c r="H73" s="12">
        <v>508.57499999999999</v>
      </c>
      <c r="I73" s="12">
        <f t="shared" si="2"/>
        <v>2021.595</v>
      </c>
      <c r="J73" s="13">
        <v>12.845000000000001</v>
      </c>
    </row>
    <row r="74" spans="1:10" s="2" customFormat="1" ht="24.95" customHeight="1">
      <c r="A74" s="47">
        <v>2014</v>
      </c>
      <c r="B74" s="12">
        <v>26.212</v>
      </c>
      <c r="C74" s="12">
        <v>203.95099999999999</v>
      </c>
      <c r="D74" s="12">
        <v>17.568000000000001</v>
      </c>
      <c r="E74" s="12">
        <v>0</v>
      </c>
      <c r="F74" s="12">
        <v>719.553</v>
      </c>
      <c r="G74" s="12">
        <v>246.5</v>
      </c>
      <c r="H74" s="12">
        <v>423.22199999999998</v>
      </c>
      <c r="I74" s="12">
        <f>SUM(B74:H74)</f>
        <v>1637.0060000000001</v>
      </c>
      <c r="J74" s="13">
        <v>12.845000000000001</v>
      </c>
    </row>
    <row r="75" spans="1:10" s="2" customFormat="1" ht="24.95" customHeight="1">
      <c r="A75" s="47">
        <v>2015</v>
      </c>
      <c r="B75" s="12">
        <v>50.332000000000001</v>
      </c>
      <c r="C75" s="12">
        <v>200.25800000000001</v>
      </c>
      <c r="D75" s="12">
        <v>16.099</v>
      </c>
      <c r="E75" s="12">
        <v>0</v>
      </c>
      <c r="F75" s="12">
        <v>708.73699999999997</v>
      </c>
      <c r="G75" s="12">
        <v>228.614</v>
      </c>
      <c r="H75" s="12">
        <v>393.738</v>
      </c>
      <c r="I75" s="12">
        <f t="shared" si="2"/>
        <v>1597.778</v>
      </c>
      <c r="J75" s="13">
        <f>12.632+0.051</f>
        <v>12.683</v>
      </c>
    </row>
    <row r="76" spans="1:10" s="2" customFormat="1" ht="24.95" customHeight="1">
      <c r="A76" s="47">
        <v>2016</v>
      </c>
      <c r="B76" s="12">
        <v>31.908999999999999</v>
      </c>
      <c r="C76" s="12">
        <v>213.59100000000001</v>
      </c>
      <c r="D76" s="12">
        <v>0</v>
      </c>
      <c r="E76" s="12">
        <v>0</v>
      </c>
      <c r="F76" s="12">
        <v>695.24300000000005</v>
      </c>
      <c r="G76" s="12">
        <v>226.20500000000001</v>
      </c>
      <c r="H76" s="12">
        <v>422.73200000000003</v>
      </c>
      <c r="I76" s="12">
        <f>SUM(B76:H76)</f>
        <v>1589.68</v>
      </c>
      <c r="J76" s="13">
        <f>12.418+0.024</f>
        <v>12.441999999999998</v>
      </c>
    </row>
    <row r="77" spans="1:10" s="2" customFormat="1" ht="24.75" customHeight="1">
      <c r="A77" s="47">
        <v>2017</v>
      </c>
      <c r="B77" s="12">
        <v>36.015999999999998</v>
      </c>
      <c r="C77" s="12">
        <v>214.66200000000001</v>
      </c>
      <c r="D77" s="12">
        <v>0</v>
      </c>
      <c r="E77" s="12">
        <v>0</v>
      </c>
      <c r="F77" s="12">
        <v>718.35900000000004</v>
      </c>
      <c r="G77" s="12">
        <f>163.348+0.184+33.224+0.025</f>
        <v>196.78100000000001</v>
      </c>
      <c r="H77" s="12">
        <v>486.43200000000002</v>
      </c>
      <c r="I77" s="12">
        <f t="shared" ref="I77:I81" si="3">SUM(B77:H77)</f>
        <v>1652.25</v>
      </c>
      <c r="J77" s="13">
        <f>11.526+0.074</f>
        <v>11.6</v>
      </c>
    </row>
    <row r="78" spans="1:10" s="2" customFormat="1" ht="24.75" customHeight="1">
      <c r="A78" s="47">
        <v>2018</v>
      </c>
      <c r="B78" s="12">
        <v>42.505000000000003</v>
      </c>
      <c r="C78" s="12">
        <v>221.03100000000001</v>
      </c>
      <c r="D78" s="12">
        <v>0</v>
      </c>
      <c r="E78" s="12">
        <v>0</v>
      </c>
      <c r="F78" s="12">
        <v>712.06899999999996</v>
      </c>
      <c r="G78" s="12">
        <f>151.005+30.745+0.026+0.001+0.028</f>
        <v>181.80500000000001</v>
      </c>
      <c r="H78" s="12">
        <v>432.33</v>
      </c>
      <c r="I78" s="12">
        <f>SUM(B78:H78)</f>
        <v>1589.74</v>
      </c>
      <c r="J78" s="13">
        <f>12.016+0.034</f>
        <v>12.05</v>
      </c>
    </row>
    <row r="79" spans="1:10" s="2" customFormat="1" ht="24.75" customHeight="1">
      <c r="A79" s="47">
        <v>2019</v>
      </c>
      <c r="B79" s="12">
        <v>65.539000000000001</v>
      </c>
      <c r="C79" s="12">
        <v>210.69300000000001</v>
      </c>
      <c r="D79" s="12">
        <v>0</v>
      </c>
      <c r="E79" s="12">
        <v>0</v>
      </c>
      <c r="F79" s="12">
        <v>604.21199999999999</v>
      </c>
      <c r="G79" s="12">
        <f>2.169+118.977+0.318</f>
        <v>121.464</v>
      </c>
      <c r="H79" s="12">
        <v>417.78100000000001</v>
      </c>
      <c r="I79" s="12">
        <f t="shared" si="3"/>
        <v>1419.6889999999999</v>
      </c>
      <c r="J79" s="13">
        <f>11.729+0.062</f>
        <v>11.790999999999999</v>
      </c>
    </row>
    <row r="80" spans="1:10" s="2" customFormat="1" ht="24.75" customHeight="1">
      <c r="A80" s="47">
        <v>2020</v>
      </c>
      <c r="B80" s="12">
        <v>46.648000000000003</v>
      </c>
      <c r="C80" s="12">
        <v>178.446</v>
      </c>
      <c r="D80" s="12">
        <v>0</v>
      </c>
      <c r="E80" s="12">
        <v>0</v>
      </c>
      <c r="F80" s="12">
        <v>555.37199999999996</v>
      </c>
      <c r="G80" s="12">
        <f>1.672+141.601+0.001+0.035</f>
        <v>143.309</v>
      </c>
      <c r="H80" s="12">
        <v>329.99400000000003</v>
      </c>
      <c r="I80" s="12">
        <f t="shared" si="3"/>
        <v>1253.7689999999998</v>
      </c>
      <c r="J80" s="13">
        <f>11.391+0.06</f>
        <v>11.451000000000001</v>
      </c>
    </row>
    <row r="81" spans="1:10" s="2" customFormat="1" ht="24.75" customHeight="1">
      <c r="A81" s="47">
        <v>2021</v>
      </c>
      <c r="B81" s="12">
        <v>64.293999999999997</v>
      </c>
      <c r="C81" s="12">
        <v>125.943</v>
      </c>
      <c r="D81" s="12">
        <v>0</v>
      </c>
      <c r="E81" s="12">
        <v>0</v>
      </c>
      <c r="F81" s="12">
        <v>624.52700000000004</v>
      </c>
      <c r="G81" s="12">
        <f>2.338+91.42+0.001+0.001+4.142</f>
        <v>97.902000000000001</v>
      </c>
      <c r="H81" s="12">
        <v>414.67899999999997</v>
      </c>
      <c r="I81" s="12">
        <f t="shared" si="3"/>
        <v>1327.345</v>
      </c>
      <c r="J81" s="13">
        <f>10.968+0.023</f>
        <v>10.991</v>
      </c>
    </row>
    <row r="82" spans="1:10" s="2" customFormat="1" ht="24.75" customHeight="1">
      <c r="A82" s="47">
        <v>2022</v>
      </c>
      <c r="B82" s="12">
        <v>9.8260000000000005</v>
      </c>
      <c r="C82" s="12">
        <v>37.35</v>
      </c>
      <c r="D82" s="12">
        <v>0</v>
      </c>
      <c r="E82" s="12">
        <v>0</v>
      </c>
      <c r="F82" s="12">
        <v>531.12300000000005</v>
      </c>
      <c r="G82" s="12">
        <f>2.933+96.524+3</f>
        <v>102.45699999999999</v>
      </c>
      <c r="H82" s="12">
        <v>367.29199999999997</v>
      </c>
      <c r="I82" s="12">
        <f>SUM(B82:H82)</f>
        <v>1048.048</v>
      </c>
      <c r="J82" s="13">
        <f>11.37+0.046</f>
        <v>11.415999999999999</v>
      </c>
    </row>
    <row r="83" spans="1:10" s="2" customFormat="1" ht="24.75" customHeight="1">
      <c r="A83" s="47">
        <v>2023</v>
      </c>
      <c r="B83" s="12">
        <v>1.1839999999999999</v>
      </c>
      <c r="C83" s="12">
        <v>0.191</v>
      </c>
      <c r="D83" s="12">
        <v>0</v>
      </c>
      <c r="E83" s="12">
        <v>0</v>
      </c>
      <c r="F83" s="12">
        <v>437.34100000000001</v>
      </c>
      <c r="G83" s="12">
        <f>1.978+9.934</f>
        <v>11.911999999999999</v>
      </c>
      <c r="H83" s="12">
        <v>230.96</v>
      </c>
      <c r="I83" s="12">
        <f>SUM(B83:H83)</f>
        <v>681.58799999999997</v>
      </c>
      <c r="J83" s="13">
        <f>12.822+0.033</f>
        <v>12.854999999999999</v>
      </c>
    </row>
    <row r="84" spans="1:10" s="2" customFormat="1" ht="24.75" customHeight="1">
      <c r="A84" s="47">
        <v>2024</v>
      </c>
      <c r="B84" s="12">
        <v>0</v>
      </c>
      <c r="C84" s="12">
        <v>0</v>
      </c>
      <c r="D84" s="12">
        <v>0</v>
      </c>
      <c r="E84" s="12">
        <v>0</v>
      </c>
      <c r="F84" s="12">
        <v>275.55900000000003</v>
      </c>
      <c r="G84" s="12">
        <v>0.76900000000000002</v>
      </c>
      <c r="H84" s="12">
        <v>164.43</v>
      </c>
      <c r="I84" s="12">
        <f>SUM(B84:H84)</f>
        <v>440.75800000000004</v>
      </c>
      <c r="J84" s="13">
        <f>11.568+0.049</f>
        <v>11.616999999999999</v>
      </c>
    </row>
    <row r="85" spans="1:10" ht="24.75">
      <c r="A85" s="47"/>
      <c r="B85" s="19"/>
      <c r="C85" s="19"/>
      <c r="D85" s="19"/>
      <c r="E85" s="19"/>
      <c r="F85" s="19"/>
      <c r="G85" s="19"/>
      <c r="H85" s="19"/>
      <c r="I85" s="19"/>
      <c r="J85" s="20"/>
    </row>
    <row r="86" spans="1:10" ht="24.75">
      <c r="A86" s="52" t="s">
        <v>28</v>
      </c>
      <c r="B86" s="19"/>
      <c r="C86" s="19"/>
      <c r="D86" s="19"/>
      <c r="E86" s="19"/>
      <c r="F86" s="19"/>
      <c r="G86" s="19"/>
      <c r="H86" s="19"/>
      <c r="I86" s="19"/>
      <c r="J86" s="20"/>
    </row>
    <row r="87" spans="1:10" ht="24.75">
      <c r="A87" s="52" t="s">
        <v>36</v>
      </c>
      <c r="B87" s="19"/>
      <c r="C87" s="19"/>
      <c r="D87" s="19"/>
      <c r="E87" s="19"/>
      <c r="F87" s="19"/>
      <c r="G87" s="19"/>
      <c r="H87" s="19"/>
      <c r="I87" s="19"/>
      <c r="J87" s="20"/>
    </row>
    <row r="88" spans="1:10" ht="13.5" thickBot="1">
      <c r="A88" s="53"/>
      <c r="B88" s="44"/>
      <c r="C88" s="44"/>
      <c r="D88" s="44"/>
      <c r="E88" s="44"/>
      <c r="F88" s="44"/>
      <c r="G88" s="44"/>
      <c r="H88" s="44"/>
      <c r="I88" s="44"/>
      <c r="J88" s="45"/>
    </row>
    <row r="90" spans="1:10" s="3" customFormat="1" ht="23.25">
      <c r="A90" s="8"/>
      <c r="B90" s="9"/>
      <c r="C90" s="9"/>
      <c r="D90" s="9"/>
      <c r="E90" s="9"/>
    </row>
    <row r="91" spans="1:10" s="3" customFormat="1" ht="23.25">
      <c r="A91" s="8"/>
      <c r="B91" s="9"/>
      <c r="C91" s="9"/>
      <c r="D91" s="9"/>
      <c r="E91" s="9"/>
    </row>
  </sheetData>
  <mergeCells count="2">
    <mergeCell ref="G1:J1"/>
    <mergeCell ref="B7:J7"/>
  </mergeCells>
  <pageMargins left="0.78740157480314965" right="0.19685039370078741" top="0.78740157480314965" bottom="0.6692913385826772" header="0.51181102362204722" footer="0.51181102362204722"/>
  <pageSetup paperSize="9" scale="37" orientation="portrait" horizontalDpi="4294967295" verticalDpi="4294967295" r:id="rId1"/>
  <headerFooter alignWithMargins="0">
    <oddFooter>&amp;L&amp;"Arial,Standard"&amp;16Übersichten/Zeitreihen/Internet/&amp;F&amp;R&amp;"Arial,Standard"&amp;16Statistik der Kohlenwirtschaft e.V., Bergheim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5EF-D404-49D7-972C-0FE839E06E79}">
  <sheetPr>
    <pageSetUpPr fitToPage="1"/>
  </sheetPr>
  <dimension ref="A1:J89"/>
  <sheetViews>
    <sheetView topLeftCell="A73" zoomScale="50" workbookViewId="0">
      <pane ySplit="1980" topLeftCell="A33" activePane="bottomLeft"/>
      <selection pane="bottomLeft" activeCell="I82" sqref="I82"/>
      <selection activeCell="E6" sqref="E6"/>
    </sheetView>
  </sheetViews>
  <sheetFormatPr defaultColWidth="11.42578125" defaultRowHeight="12.75"/>
  <cols>
    <col min="1" max="1" width="12.5703125" customWidth="1"/>
    <col min="2" max="10" width="20.7109375" style="3" customWidth="1"/>
  </cols>
  <sheetData>
    <row r="1" spans="1:10" ht="26.25" thickBot="1">
      <c r="G1" s="66" t="s">
        <v>0</v>
      </c>
      <c r="H1" s="66"/>
      <c r="I1" s="66"/>
      <c r="J1" s="66"/>
    </row>
    <row r="2" spans="1:10" s="1" customFormat="1" ht="35.1" customHeight="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s="5" customFormat="1" ht="24" thickBot="1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41"/>
    </row>
    <row r="4" spans="1:10" s="6" customFormat="1" ht="22.5" customHeight="1">
      <c r="A4" s="29" t="s">
        <v>3</v>
      </c>
      <c r="B4" s="30" t="s">
        <v>4</v>
      </c>
      <c r="C4" s="30" t="s">
        <v>8</v>
      </c>
      <c r="D4" s="30" t="s">
        <v>6</v>
      </c>
      <c r="E4" s="30" t="s">
        <v>7</v>
      </c>
      <c r="F4" s="30" t="s">
        <v>30</v>
      </c>
      <c r="G4" s="30" t="s">
        <v>10</v>
      </c>
      <c r="H4" s="30"/>
      <c r="I4" s="30" t="s">
        <v>11</v>
      </c>
      <c r="J4" s="31" t="s">
        <v>31</v>
      </c>
    </row>
    <row r="5" spans="1:10" s="6" customFormat="1" ht="22.5" customHeight="1">
      <c r="A5" s="32"/>
      <c r="B5" s="4" t="s">
        <v>12</v>
      </c>
      <c r="C5" s="4" t="s">
        <v>16</v>
      </c>
      <c r="D5" s="4" t="s">
        <v>14</v>
      </c>
      <c r="E5" s="4" t="s">
        <v>15</v>
      </c>
      <c r="F5" s="4" t="s">
        <v>15</v>
      </c>
      <c r="G5" s="4" t="s">
        <v>18</v>
      </c>
      <c r="H5" s="4" t="s">
        <v>19</v>
      </c>
      <c r="I5" s="4" t="s">
        <v>20</v>
      </c>
      <c r="J5" s="7" t="s">
        <v>32</v>
      </c>
    </row>
    <row r="6" spans="1:10" s="6" customFormat="1" ht="22.5" customHeight="1" thickBot="1">
      <c r="A6" s="33"/>
      <c r="B6" s="34" t="s">
        <v>21</v>
      </c>
      <c r="C6" s="34" t="s">
        <v>24</v>
      </c>
      <c r="D6" s="34"/>
      <c r="E6" s="34" t="s">
        <v>23</v>
      </c>
      <c r="F6" s="34" t="s">
        <v>33</v>
      </c>
      <c r="G6" s="34" t="s">
        <v>20</v>
      </c>
      <c r="H6" s="34"/>
      <c r="I6" s="34"/>
      <c r="J6" s="35" t="s">
        <v>34</v>
      </c>
    </row>
    <row r="7" spans="1:10" s="2" customFormat="1" ht="24.95" customHeight="1">
      <c r="A7" s="49"/>
      <c r="B7" s="70" t="s">
        <v>37</v>
      </c>
      <c r="C7" s="71"/>
      <c r="D7" s="71"/>
      <c r="E7" s="71"/>
      <c r="F7" s="71"/>
      <c r="G7" s="71"/>
      <c r="H7" s="71"/>
      <c r="I7" s="71"/>
      <c r="J7" s="72"/>
    </row>
    <row r="8" spans="1:10" s="43" customFormat="1" ht="24.75" hidden="1">
      <c r="A8" s="47">
        <v>1975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3">
        <v>0</v>
      </c>
    </row>
    <row r="9" spans="1:10" s="43" customFormat="1" ht="24.75" hidden="1">
      <c r="A9" s="47">
        <v>1976</v>
      </c>
      <c r="B9" s="12">
        <v>10</v>
      </c>
      <c r="C9" s="12">
        <v>0</v>
      </c>
      <c r="D9" s="12">
        <v>2</v>
      </c>
      <c r="E9" s="12">
        <v>0</v>
      </c>
      <c r="F9" s="12">
        <v>0</v>
      </c>
      <c r="G9" s="12">
        <v>10</v>
      </c>
      <c r="H9" s="12">
        <v>3</v>
      </c>
      <c r="I9" s="12">
        <v>25</v>
      </c>
      <c r="J9" s="13">
        <v>0</v>
      </c>
    </row>
    <row r="10" spans="1:10" s="43" customFormat="1" ht="24.75" hidden="1">
      <c r="A10" s="47">
        <v>1977</v>
      </c>
      <c r="B10" s="12">
        <v>5</v>
      </c>
      <c r="C10" s="12">
        <v>0</v>
      </c>
      <c r="D10" s="12">
        <v>6</v>
      </c>
      <c r="E10" s="12">
        <v>5</v>
      </c>
      <c r="F10" s="12">
        <v>0</v>
      </c>
      <c r="G10" s="12">
        <v>29</v>
      </c>
      <c r="H10" s="12">
        <v>9</v>
      </c>
      <c r="I10" s="12">
        <v>54</v>
      </c>
      <c r="J10" s="13">
        <v>0</v>
      </c>
    </row>
    <row r="11" spans="1:10" s="43" customFormat="1" ht="24.75" hidden="1">
      <c r="A11" s="47">
        <v>1978</v>
      </c>
      <c r="B11" s="12">
        <v>0</v>
      </c>
      <c r="C11" s="12">
        <v>0</v>
      </c>
      <c r="D11" s="12">
        <v>4</v>
      </c>
      <c r="E11" s="12">
        <v>11</v>
      </c>
      <c r="F11" s="12">
        <v>0</v>
      </c>
      <c r="G11" s="12">
        <v>12</v>
      </c>
      <c r="H11" s="12">
        <v>26</v>
      </c>
      <c r="I11" s="12">
        <v>53</v>
      </c>
      <c r="J11" s="13">
        <v>0</v>
      </c>
    </row>
    <row r="12" spans="1:10" s="43" customFormat="1" ht="24.75" hidden="1">
      <c r="A12" s="47">
        <v>1979</v>
      </c>
      <c r="B12" s="12">
        <v>0</v>
      </c>
      <c r="C12" s="12">
        <v>0</v>
      </c>
      <c r="D12" s="12">
        <v>8</v>
      </c>
      <c r="E12" s="12">
        <v>31</v>
      </c>
      <c r="F12" s="12">
        <v>0</v>
      </c>
      <c r="G12" s="12">
        <v>9</v>
      </c>
      <c r="H12" s="12">
        <v>47</v>
      </c>
      <c r="I12" s="12">
        <v>95</v>
      </c>
      <c r="J12" s="13">
        <v>0</v>
      </c>
    </row>
    <row r="13" spans="1:10" s="43" customFormat="1" ht="24.75" hidden="1">
      <c r="A13" s="47">
        <v>1980</v>
      </c>
      <c r="B13" s="12">
        <v>0</v>
      </c>
      <c r="C13" s="12">
        <v>0</v>
      </c>
      <c r="D13" s="12">
        <v>15</v>
      </c>
      <c r="E13" s="12">
        <v>34</v>
      </c>
      <c r="F13" s="12">
        <v>0</v>
      </c>
      <c r="G13" s="12">
        <v>24</v>
      </c>
      <c r="H13" s="12">
        <v>27</v>
      </c>
      <c r="I13" s="12">
        <v>100</v>
      </c>
      <c r="J13" s="13">
        <v>0</v>
      </c>
    </row>
    <row r="14" spans="1:10" s="43" customFormat="1" ht="24.75" hidden="1">
      <c r="A14" s="47">
        <v>1981</v>
      </c>
      <c r="B14" s="12">
        <v>0</v>
      </c>
      <c r="C14" s="12">
        <v>0</v>
      </c>
      <c r="D14" s="12">
        <v>21</v>
      </c>
      <c r="E14" s="12">
        <v>42</v>
      </c>
      <c r="F14" s="12">
        <v>0</v>
      </c>
      <c r="G14" s="12">
        <v>25</v>
      </c>
      <c r="H14" s="12">
        <v>8</v>
      </c>
      <c r="I14" s="12">
        <v>96</v>
      </c>
      <c r="J14" s="13">
        <v>0</v>
      </c>
    </row>
    <row r="15" spans="1:10" s="43" customFormat="1" ht="24.75" hidden="1">
      <c r="A15" s="47">
        <v>1982</v>
      </c>
      <c r="B15" s="12">
        <v>0</v>
      </c>
      <c r="C15" s="12">
        <v>0</v>
      </c>
      <c r="D15" s="12">
        <v>25</v>
      </c>
      <c r="E15" s="12">
        <v>40</v>
      </c>
      <c r="F15" s="12">
        <v>0</v>
      </c>
      <c r="G15" s="12">
        <v>33</v>
      </c>
      <c r="H15" s="12">
        <v>9</v>
      </c>
      <c r="I15" s="12">
        <v>107</v>
      </c>
      <c r="J15" s="13">
        <v>0</v>
      </c>
    </row>
    <row r="16" spans="1:10" s="43" customFormat="1" ht="24.75" hidden="1">
      <c r="A16" s="47">
        <v>1983</v>
      </c>
      <c r="B16" s="12">
        <v>0</v>
      </c>
      <c r="C16" s="12">
        <v>0</v>
      </c>
      <c r="D16" s="12">
        <v>26</v>
      </c>
      <c r="E16" s="12">
        <v>19</v>
      </c>
      <c r="F16" s="12">
        <v>0</v>
      </c>
      <c r="G16" s="12">
        <v>55</v>
      </c>
      <c r="H16" s="12">
        <v>1</v>
      </c>
      <c r="I16" s="12">
        <v>101</v>
      </c>
      <c r="J16" s="13">
        <v>0</v>
      </c>
    </row>
    <row r="17" spans="1:10" s="43" customFormat="1" ht="24.75" hidden="1">
      <c r="A17" s="47">
        <v>1984</v>
      </c>
      <c r="B17" s="12">
        <v>0</v>
      </c>
      <c r="C17" s="12">
        <v>0</v>
      </c>
      <c r="D17" s="12">
        <v>28</v>
      </c>
      <c r="E17" s="12">
        <v>16</v>
      </c>
      <c r="F17" s="12">
        <v>0</v>
      </c>
      <c r="G17" s="12">
        <v>69</v>
      </c>
      <c r="H17" s="12">
        <v>4</v>
      </c>
      <c r="I17" s="12">
        <v>117</v>
      </c>
      <c r="J17" s="13">
        <v>0</v>
      </c>
    </row>
    <row r="18" spans="1:10" s="43" customFormat="1" ht="24.75">
      <c r="A18" s="47">
        <v>1985</v>
      </c>
      <c r="B18" s="12">
        <v>0</v>
      </c>
      <c r="C18" s="12">
        <v>0</v>
      </c>
      <c r="D18" s="12">
        <v>27</v>
      </c>
      <c r="E18" s="12">
        <v>18</v>
      </c>
      <c r="F18" s="12">
        <v>0</v>
      </c>
      <c r="G18" s="12">
        <v>100</v>
      </c>
      <c r="H18" s="12">
        <v>29</v>
      </c>
      <c r="I18" s="12">
        <v>174</v>
      </c>
      <c r="J18" s="13">
        <v>0</v>
      </c>
    </row>
    <row r="19" spans="1:10" ht="24.75">
      <c r="A19" s="47">
        <v>1986</v>
      </c>
      <c r="B19" s="12">
        <v>0</v>
      </c>
      <c r="C19" s="12">
        <v>0</v>
      </c>
      <c r="D19" s="12">
        <v>21</v>
      </c>
      <c r="E19" s="12">
        <v>11</v>
      </c>
      <c r="F19" s="12">
        <v>0</v>
      </c>
      <c r="G19" s="12">
        <v>109</v>
      </c>
      <c r="H19" s="12">
        <v>9</v>
      </c>
      <c r="I19" s="12">
        <v>150</v>
      </c>
      <c r="J19" s="13">
        <v>0</v>
      </c>
    </row>
    <row r="20" spans="1:10" ht="24.75">
      <c r="A20" s="47">
        <v>1987</v>
      </c>
      <c r="B20" s="12">
        <v>2</v>
      </c>
      <c r="C20" s="12">
        <v>0</v>
      </c>
      <c r="D20" s="12">
        <v>7</v>
      </c>
      <c r="E20" s="12">
        <v>23</v>
      </c>
      <c r="F20" s="12">
        <v>0</v>
      </c>
      <c r="G20" s="12">
        <v>94</v>
      </c>
      <c r="H20" s="12">
        <v>15</v>
      </c>
      <c r="I20" s="12">
        <v>141</v>
      </c>
      <c r="J20" s="13">
        <v>0</v>
      </c>
    </row>
    <row r="21" spans="1:10" ht="24.75">
      <c r="A21" s="47">
        <v>1988</v>
      </c>
      <c r="B21" s="12">
        <v>1</v>
      </c>
      <c r="C21" s="12">
        <v>0</v>
      </c>
      <c r="D21" s="12">
        <v>5</v>
      </c>
      <c r="E21" s="12">
        <v>38</v>
      </c>
      <c r="F21" s="12">
        <v>0</v>
      </c>
      <c r="G21" s="12">
        <v>85</v>
      </c>
      <c r="H21" s="12">
        <v>9</v>
      </c>
      <c r="I21" s="12">
        <v>138</v>
      </c>
      <c r="J21" s="13">
        <v>0</v>
      </c>
    </row>
    <row r="22" spans="1:10" ht="24.75">
      <c r="A22" s="47">
        <v>1989</v>
      </c>
      <c r="B22" s="12">
        <v>15</v>
      </c>
      <c r="C22" s="12">
        <v>0</v>
      </c>
      <c r="D22" s="12">
        <v>7</v>
      </c>
      <c r="E22" s="12">
        <v>37</v>
      </c>
      <c r="F22" s="12">
        <v>0</v>
      </c>
      <c r="G22" s="12">
        <v>60</v>
      </c>
      <c r="H22" s="12">
        <v>13</v>
      </c>
      <c r="I22" s="12">
        <v>132</v>
      </c>
      <c r="J22" s="13">
        <v>0</v>
      </c>
    </row>
    <row r="23" spans="1:10" ht="24.75">
      <c r="A23" s="47">
        <v>1990</v>
      </c>
      <c r="B23" s="12">
        <v>49</v>
      </c>
      <c r="C23" s="12">
        <v>0</v>
      </c>
      <c r="D23" s="12">
        <v>9</v>
      </c>
      <c r="E23" s="12">
        <v>44</v>
      </c>
      <c r="F23" s="12">
        <v>0</v>
      </c>
      <c r="G23" s="12">
        <v>56</v>
      </c>
      <c r="H23" s="12">
        <v>15</v>
      </c>
      <c r="I23" s="12">
        <v>173</v>
      </c>
      <c r="J23" s="13">
        <v>0</v>
      </c>
    </row>
    <row r="24" spans="1:10" ht="11.45" customHeight="1">
      <c r="A24" s="47"/>
      <c r="B24" s="12"/>
      <c r="C24" s="12"/>
      <c r="D24" s="12"/>
      <c r="E24" s="12"/>
      <c r="F24" s="12"/>
      <c r="G24" s="12"/>
      <c r="H24" s="12"/>
      <c r="I24" s="12"/>
      <c r="J24" s="13"/>
    </row>
    <row r="25" spans="1:10" ht="24.75">
      <c r="A25" s="47">
        <v>1991</v>
      </c>
      <c r="B25" s="12">
        <f t="shared" ref="B25:I33" si="0">SUM(B37+B49)</f>
        <v>56</v>
      </c>
      <c r="C25" s="12">
        <f t="shared" si="0"/>
        <v>13</v>
      </c>
      <c r="D25" s="12">
        <f t="shared" si="0"/>
        <v>29</v>
      </c>
      <c r="E25" s="12">
        <f t="shared" si="0"/>
        <v>38</v>
      </c>
      <c r="F25" s="12">
        <f t="shared" si="0"/>
        <v>418</v>
      </c>
      <c r="G25" s="12">
        <f t="shared" si="0"/>
        <v>204</v>
      </c>
      <c r="H25" s="12">
        <f t="shared" si="0"/>
        <v>83</v>
      </c>
      <c r="I25" s="12">
        <f t="shared" si="0"/>
        <v>841</v>
      </c>
      <c r="J25" s="13">
        <v>0</v>
      </c>
    </row>
    <row r="26" spans="1:10" ht="24.75">
      <c r="A26" s="47">
        <v>1992</v>
      </c>
      <c r="B26" s="12">
        <f t="shared" si="0"/>
        <v>7.6040000000000001</v>
      </c>
      <c r="C26" s="12">
        <f t="shared" si="0"/>
        <v>0.91700000000000004</v>
      </c>
      <c r="D26" s="12">
        <f t="shared" si="0"/>
        <v>26.245999999999999</v>
      </c>
      <c r="E26" s="12">
        <f t="shared" si="0"/>
        <v>20.928000000000001</v>
      </c>
      <c r="F26" s="12">
        <f t="shared" si="0"/>
        <v>82.882000000000005</v>
      </c>
      <c r="G26" s="12">
        <f t="shared" si="0"/>
        <v>172.63</v>
      </c>
      <c r="H26" s="12">
        <f t="shared" si="0"/>
        <v>11.891</v>
      </c>
      <c r="I26" s="12">
        <f t="shared" si="0"/>
        <v>323.09799999999996</v>
      </c>
      <c r="J26" s="13">
        <f t="shared" ref="J26:J34" si="1">SUM(J38+J50)</f>
        <v>0</v>
      </c>
    </row>
    <row r="27" spans="1:10" ht="24.75">
      <c r="A27" s="47">
        <v>1993</v>
      </c>
      <c r="B27" s="12">
        <f t="shared" si="0"/>
        <v>68.272000000000006</v>
      </c>
      <c r="C27" s="12">
        <f t="shared" si="0"/>
        <v>2.4E-2</v>
      </c>
      <c r="D27" s="12">
        <f t="shared" si="0"/>
        <v>33.79</v>
      </c>
      <c r="E27" s="12">
        <f t="shared" si="0"/>
        <v>21.622</v>
      </c>
      <c r="F27" s="12">
        <f t="shared" si="0"/>
        <v>15.47</v>
      </c>
      <c r="G27" s="12">
        <f t="shared" si="0"/>
        <v>58.832000000000001</v>
      </c>
      <c r="H27" s="12">
        <f t="shared" si="0"/>
        <v>9.0429999999999993</v>
      </c>
      <c r="I27" s="12">
        <f t="shared" si="0"/>
        <v>207.05300000000003</v>
      </c>
      <c r="J27" s="13">
        <f t="shared" si="1"/>
        <v>0</v>
      </c>
    </row>
    <row r="28" spans="1:10" ht="24.75">
      <c r="A28" s="47">
        <v>1994</v>
      </c>
      <c r="B28" s="12">
        <f t="shared" si="0"/>
        <v>58.790999999999997</v>
      </c>
      <c r="C28" s="12">
        <f t="shared" si="0"/>
        <v>0</v>
      </c>
      <c r="D28" s="12">
        <f t="shared" si="0"/>
        <v>37.192999999999998</v>
      </c>
      <c r="E28" s="12">
        <f t="shared" si="0"/>
        <v>15.497999999999999</v>
      </c>
      <c r="F28" s="12">
        <f t="shared" si="0"/>
        <v>0</v>
      </c>
      <c r="G28" s="12">
        <f t="shared" si="0"/>
        <v>45.389000000000003</v>
      </c>
      <c r="H28" s="12">
        <f t="shared" si="0"/>
        <v>13.042999999999999</v>
      </c>
      <c r="I28" s="12">
        <f t="shared" si="0"/>
        <v>169.91399999999999</v>
      </c>
      <c r="J28" s="13">
        <f t="shared" si="1"/>
        <v>0</v>
      </c>
    </row>
    <row r="29" spans="1:10" ht="24.75">
      <c r="A29" s="47">
        <v>1995</v>
      </c>
      <c r="B29" s="12">
        <f t="shared" si="0"/>
        <v>64.305000000000007</v>
      </c>
      <c r="C29" s="12">
        <f t="shared" si="0"/>
        <v>0</v>
      </c>
      <c r="D29" s="12">
        <f t="shared" si="0"/>
        <v>39.064</v>
      </c>
      <c r="E29" s="12">
        <f t="shared" si="0"/>
        <v>0</v>
      </c>
      <c r="F29" s="12">
        <f t="shared" si="0"/>
        <v>0</v>
      </c>
      <c r="G29" s="12">
        <f t="shared" si="0"/>
        <v>68.033000000000001</v>
      </c>
      <c r="H29" s="12">
        <f t="shared" si="0"/>
        <v>17.588999999999999</v>
      </c>
      <c r="I29" s="12">
        <f t="shared" si="0"/>
        <v>188.99099999999999</v>
      </c>
      <c r="J29" s="13">
        <f t="shared" si="1"/>
        <v>0</v>
      </c>
    </row>
    <row r="30" spans="1:10" ht="24.75">
      <c r="A30" s="47">
        <v>1996</v>
      </c>
      <c r="B30" s="12">
        <f t="shared" si="0"/>
        <v>60.024000000000001</v>
      </c>
      <c r="C30" s="12">
        <f t="shared" si="0"/>
        <v>0</v>
      </c>
      <c r="D30" s="12">
        <f t="shared" si="0"/>
        <v>32.886000000000003</v>
      </c>
      <c r="E30" s="12">
        <f t="shared" si="0"/>
        <v>0</v>
      </c>
      <c r="F30" s="12">
        <f t="shared" si="0"/>
        <v>0</v>
      </c>
      <c r="G30" s="12">
        <f t="shared" si="0"/>
        <v>67.947999999999993</v>
      </c>
      <c r="H30" s="12">
        <f t="shared" si="0"/>
        <v>18.065000000000001</v>
      </c>
      <c r="I30" s="12">
        <f t="shared" si="0"/>
        <v>178.923</v>
      </c>
      <c r="J30" s="13">
        <f t="shared" si="1"/>
        <v>0</v>
      </c>
    </row>
    <row r="31" spans="1:10" ht="24.75">
      <c r="A31" s="47">
        <v>1997</v>
      </c>
      <c r="B31" s="12">
        <f t="shared" si="0"/>
        <v>63.805999999999997</v>
      </c>
      <c r="C31" s="12">
        <f t="shared" si="0"/>
        <v>9.0999999999999998E-2</v>
      </c>
      <c r="D31" s="12">
        <f t="shared" si="0"/>
        <v>34.536999999999999</v>
      </c>
      <c r="E31" s="12">
        <f t="shared" si="0"/>
        <v>0</v>
      </c>
      <c r="F31" s="12">
        <f t="shared" si="0"/>
        <v>0</v>
      </c>
      <c r="G31" s="12">
        <f t="shared" si="0"/>
        <v>68.394000000000005</v>
      </c>
      <c r="H31" s="12">
        <f t="shared" si="0"/>
        <v>19.663</v>
      </c>
      <c r="I31" s="12">
        <f t="shared" si="0"/>
        <v>186.49100000000001</v>
      </c>
      <c r="J31" s="13">
        <f t="shared" si="1"/>
        <v>0</v>
      </c>
    </row>
    <row r="32" spans="1:10" ht="24.75">
      <c r="A32" s="47">
        <v>1998</v>
      </c>
      <c r="B32" s="12">
        <f t="shared" si="0"/>
        <v>53.804000000000002</v>
      </c>
      <c r="C32" s="12">
        <f t="shared" si="0"/>
        <v>0.13800000000000001</v>
      </c>
      <c r="D32" s="12">
        <f t="shared" si="0"/>
        <v>32.131999999999998</v>
      </c>
      <c r="E32" s="12">
        <f t="shared" si="0"/>
        <v>0</v>
      </c>
      <c r="F32" s="12">
        <f t="shared" si="0"/>
        <v>0</v>
      </c>
      <c r="G32" s="12">
        <f t="shared" si="0"/>
        <v>80.900000000000006</v>
      </c>
      <c r="H32" s="12">
        <f t="shared" si="0"/>
        <v>16.57</v>
      </c>
      <c r="I32" s="12">
        <f t="shared" si="0"/>
        <v>183.54399999999998</v>
      </c>
      <c r="J32" s="13">
        <f t="shared" si="1"/>
        <v>0</v>
      </c>
    </row>
    <row r="33" spans="1:10" ht="24.75">
      <c r="A33" s="47">
        <v>1999</v>
      </c>
      <c r="B33" s="12">
        <f t="shared" si="0"/>
        <v>48.314</v>
      </c>
      <c r="C33" s="12">
        <f t="shared" si="0"/>
        <v>0.14000000000000001</v>
      </c>
      <c r="D33" s="12">
        <f t="shared" si="0"/>
        <v>28.875</v>
      </c>
      <c r="E33" s="12">
        <f t="shared" si="0"/>
        <v>0</v>
      </c>
      <c r="F33" s="12">
        <f t="shared" si="0"/>
        <v>0</v>
      </c>
      <c r="G33" s="12">
        <f t="shared" si="0"/>
        <v>78.777000000000001</v>
      </c>
      <c r="H33" s="12">
        <f t="shared" si="0"/>
        <v>20.513000000000002</v>
      </c>
      <c r="I33" s="12">
        <f t="shared" si="0"/>
        <v>176.619</v>
      </c>
      <c r="J33" s="13">
        <f t="shared" si="1"/>
        <v>0</v>
      </c>
    </row>
    <row r="34" spans="1:10" ht="24.75">
      <c r="A34" s="47">
        <v>2000</v>
      </c>
      <c r="B34" s="12">
        <v>30</v>
      </c>
      <c r="C34" s="12">
        <v>1E-3</v>
      </c>
      <c r="D34" s="12">
        <v>31</v>
      </c>
      <c r="E34" s="12">
        <f>SUM(E46+E58)</f>
        <v>0</v>
      </c>
      <c r="F34" s="12">
        <v>1E-3</v>
      </c>
      <c r="G34" s="12">
        <v>87</v>
      </c>
      <c r="H34" s="12">
        <v>28</v>
      </c>
      <c r="I34" s="12">
        <v>176</v>
      </c>
      <c r="J34" s="13">
        <f t="shared" si="1"/>
        <v>0</v>
      </c>
    </row>
    <row r="35" spans="1:10" ht="24.75" hidden="1">
      <c r="A35" s="47"/>
      <c r="B35" s="19"/>
      <c r="C35" s="19"/>
      <c r="D35" s="19"/>
      <c r="E35" s="19"/>
      <c r="F35" s="19"/>
      <c r="G35" s="19"/>
      <c r="H35" s="19"/>
      <c r="I35" s="19"/>
      <c r="J35" s="20"/>
    </row>
    <row r="36" spans="1:10" ht="24.75" hidden="1">
      <c r="A36" s="50"/>
      <c r="B36" s="21" t="s">
        <v>26</v>
      </c>
      <c r="C36" s="22"/>
      <c r="D36" s="22"/>
      <c r="E36" s="22"/>
      <c r="F36" s="22"/>
      <c r="G36" s="22"/>
      <c r="H36" s="22"/>
      <c r="I36" s="22"/>
      <c r="J36" s="23"/>
    </row>
    <row r="37" spans="1:10" ht="24.75" hidden="1">
      <c r="A37" s="51">
        <v>1991</v>
      </c>
      <c r="B37" s="24">
        <v>56</v>
      </c>
      <c r="C37" s="24">
        <v>0</v>
      </c>
      <c r="D37" s="24">
        <v>13</v>
      </c>
      <c r="E37" s="24">
        <v>38</v>
      </c>
      <c r="F37" s="24">
        <v>0</v>
      </c>
      <c r="G37" s="24">
        <v>80</v>
      </c>
      <c r="H37" s="24">
        <v>11</v>
      </c>
      <c r="I37" s="24">
        <v>198</v>
      </c>
      <c r="J37" s="25">
        <v>0</v>
      </c>
    </row>
    <row r="38" spans="1:10" ht="24.75" hidden="1">
      <c r="A38" s="51">
        <v>1992</v>
      </c>
      <c r="B38" s="24">
        <v>1.9970000000000001</v>
      </c>
      <c r="C38" s="24">
        <v>0.247</v>
      </c>
      <c r="D38" s="24">
        <v>25.276</v>
      </c>
      <c r="E38" s="24">
        <v>20.928000000000001</v>
      </c>
      <c r="F38" s="24">
        <v>0</v>
      </c>
      <c r="G38" s="24">
        <v>142.67599999999999</v>
      </c>
      <c r="H38" s="24">
        <v>11.891</v>
      </c>
      <c r="I38" s="24">
        <v>203.01499999999999</v>
      </c>
      <c r="J38" s="25">
        <v>0</v>
      </c>
    </row>
    <row r="39" spans="1:10" ht="24.75" hidden="1">
      <c r="A39" s="51">
        <v>1993</v>
      </c>
      <c r="B39" s="24">
        <v>68.272000000000006</v>
      </c>
      <c r="C39" s="24">
        <v>2.4E-2</v>
      </c>
      <c r="D39" s="24">
        <v>33.79</v>
      </c>
      <c r="E39" s="24">
        <v>21.622</v>
      </c>
      <c r="F39" s="24">
        <v>0</v>
      </c>
      <c r="G39" s="24">
        <v>55.197000000000003</v>
      </c>
      <c r="H39" s="24">
        <v>9.0429999999999993</v>
      </c>
      <c r="I39" s="24">
        <f>SUM(B39:H39)</f>
        <v>187.94800000000004</v>
      </c>
      <c r="J39" s="25">
        <v>0</v>
      </c>
    </row>
    <row r="40" spans="1:10" ht="24.75" hidden="1">
      <c r="A40" s="51">
        <v>1994</v>
      </c>
      <c r="B40" s="24">
        <v>58.790999999999997</v>
      </c>
      <c r="C40" s="24">
        <v>0</v>
      </c>
      <c r="D40" s="24">
        <v>37.192999999999998</v>
      </c>
      <c r="E40" s="24">
        <v>15.497999999999999</v>
      </c>
      <c r="F40" s="24">
        <v>0</v>
      </c>
      <c r="G40" s="24">
        <v>45.389000000000003</v>
      </c>
      <c r="H40" s="24">
        <v>13.042999999999999</v>
      </c>
      <c r="I40" s="24">
        <v>169.91399999999999</v>
      </c>
      <c r="J40" s="25">
        <v>0</v>
      </c>
    </row>
    <row r="41" spans="1:10" ht="24.75" hidden="1">
      <c r="A41" s="51">
        <v>1995</v>
      </c>
      <c r="B41" s="24">
        <v>64.305000000000007</v>
      </c>
      <c r="C41" s="24">
        <v>0</v>
      </c>
      <c r="D41" s="24">
        <v>39.064</v>
      </c>
      <c r="E41" s="24">
        <v>0</v>
      </c>
      <c r="F41" s="24">
        <v>0</v>
      </c>
      <c r="G41" s="24">
        <v>68.033000000000001</v>
      </c>
      <c r="H41" s="24">
        <v>17.588999999999999</v>
      </c>
      <c r="I41" s="24">
        <f t="shared" ref="I41:I46" si="2">SUM(B41:H41)</f>
        <v>188.99099999999999</v>
      </c>
      <c r="J41" s="25">
        <v>0</v>
      </c>
    </row>
    <row r="42" spans="1:10" ht="24.75" hidden="1">
      <c r="A42" s="51">
        <v>1996</v>
      </c>
      <c r="B42" s="24">
        <v>60.024000000000001</v>
      </c>
      <c r="C42" s="24">
        <v>0</v>
      </c>
      <c r="D42" s="24">
        <v>32.886000000000003</v>
      </c>
      <c r="E42" s="24">
        <v>0</v>
      </c>
      <c r="F42" s="24">
        <v>0</v>
      </c>
      <c r="G42" s="24">
        <v>67.947999999999993</v>
      </c>
      <c r="H42" s="24">
        <v>18.065000000000001</v>
      </c>
      <c r="I42" s="24">
        <f t="shared" si="2"/>
        <v>178.923</v>
      </c>
      <c r="J42" s="25">
        <v>0</v>
      </c>
    </row>
    <row r="43" spans="1:10" ht="24.75" hidden="1">
      <c r="A43" s="51">
        <v>1997</v>
      </c>
      <c r="B43" s="24">
        <v>63.805999999999997</v>
      </c>
      <c r="C43" s="24">
        <v>9.0999999999999998E-2</v>
      </c>
      <c r="D43" s="24">
        <v>34.536999999999999</v>
      </c>
      <c r="E43" s="24">
        <v>0</v>
      </c>
      <c r="F43" s="24">
        <v>0</v>
      </c>
      <c r="G43" s="24">
        <v>68.394000000000005</v>
      </c>
      <c r="H43" s="24">
        <v>19.663</v>
      </c>
      <c r="I43" s="24">
        <f t="shared" si="2"/>
        <v>186.49100000000001</v>
      </c>
      <c r="J43" s="25">
        <v>0</v>
      </c>
    </row>
    <row r="44" spans="1:10" ht="24.75" hidden="1">
      <c r="A44" s="51">
        <v>1998</v>
      </c>
      <c r="B44" s="24">
        <v>53.804000000000002</v>
      </c>
      <c r="C44" s="24">
        <v>0.13800000000000001</v>
      </c>
      <c r="D44" s="24">
        <v>32.131999999999998</v>
      </c>
      <c r="E44" s="24">
        <v>0</v>
      </c>
      <c r="F44" s="24">
        <v>0</v>
      </c>
      <c r="G44" s="24">
        <v>80.900000000000006</v>
      </c>
      <c r="H44" s="24">
        <v>16.57</v>
      </c>
      <c r="I44" s="24">
        <f t="shared" si="2"/>
        <v>183.54399999999998</v>
      </c>
      <c r="J44" s="25">
        <v>0</v>
      </c>
    </row>
    <row r="45" spans="1:10" ht="24.75" hidden="1">
      <c r="A45" s="51">
        <v>1999</v>
      </c>
      <c r="B45" s="24">
        <v>48.314</v>
      </c>
      <c r="C45" s="24">
        <v>0.14000000000000001</v>
      </c>
      <c r="D45" s="24">
        <v>28.875</v>
      </c>
      <c r="E45" s="24">
        <v>0</v>
      </c>
      <c r="F45" s="24">
        <v>0</v>
      </c>
      <c r="G45" s="24">
        <v>78.777000000000001</v>
      </c>
      <c r="H45" s="24">
        <v>20.513000000000002</v>
      </c>
      <c r="I45" s="24">
        <f t="shared" si="2"/>
        <v>176.619</v>
      </c>
      <c r="J45" s="25">
        <v>0</v>
      </c>
    </row>
    <row r="46" spans="1:10" ht="24.75" hidden="1">
      <c r="A46" s="51">
        <v>2000</v>
      </c>
      <c r="B46" s="24">
        <v>30.372</v>
      </c>
      <c r="C46" s="24">
        <v>0.161</v>
      </c>
      <c r="D46" s="24">
        <v>31.388999999999999</v>
      </c>
      <c r="E46" s="24">
        <v>0</v>
      </c>
      <c r="F46" s="24">
        <v>5.1999999999999998E-2</v>
      </c>
      <c r="G46" s="24">
        <v>86.838999999999999</v>
      </c>
      <c r="H46" s="24">
        <v>27.622</v>
      </c>
      <c r="I46" s="24">
        <f t="shared" si="2"/>
        <v>176.435</v>
      </c>
      <c r="J46" s="25">
        <v>0</v>
      </c>
    </row>
    <row r="47" spans="1:10" ht="24.75" hidden="1">
      <c r="A47" s="51"/>
      <c r="B47" s="24"/>
      <c r="C47" s="26"/>
      <c r="D47" s="26"/>
      <c r="E47" s="26"/>
      <c r="F47" s="26"/>
      <c r="G47" s="26"/>
      <c r="H47" s="26"/>
      <c r="I47" s="26"/>
      <c r="J47" s="27"/>
    </row>
    <row r="48" spans="1:10" ht="24.75" hidden="1">
      <c r="A48" s="51"/>
      <c r="B48" s="28" t="s">
        <v>27</v>
      </c>
      <c r="C48" s="22"/>
      <c r="D48" s="22"/>
      <c r="E48" s="22"/>
      <c r="F48" s="22"/>
      <c r="G48" s="22"/>
      <c r="H48" s="22"/>
      <c r="I48" s="22"/>
      <c r="J48" s="23"/>
    </row>
    <row r="49" spans="1:10" ht="24.75" hidden="1">
      <c r="A49" s="51">
        <v>1991</v>
      </c>
      <c r="B49" s="24">
        <v>0</v>
      </c>
      <c r="C49" s="24">
        <v>13</v>
      </c>
      <c r="D49" s="24">
        <v>16</v>
      </c>
      <c r="E49" s="24">
        <v>0</v>
      </c>
      <c r="F49" s="24">
        <v>418</v>
      </c>
      <c r="G49" s="24">
        <v>124</v>
      </c>
      <c r="H49" s="24">
        <v>72</v>
      </c>
      <c r="I49" s="24">
        <v>643</v>
      </c>
      <c r="J49" s="25">
        <v>0</v>
      </c>
    </row>
    <row r="50" spans="1:10" ht="24.75" hidden="1">
      <c r="A50" s="51">
        <v>1992</v>
      </c>
      <c r="B50" s="24">
        <v>5.6070000000000002</v>
      </c>
      <c r="C50" s="24">
        <v>0.67</v>
      </c>
      <c r="D50" s="24">
        <v>0.97</v>
      </c>
      <c r="E50" s="24">
        <v>0</v>
      </c>
      <c r="F50" s="24">
        <v>82.882000000000005</v>
      </c>
      <c r="G50" s="24">
        <v>29.954000000000001</v>
      </c>
      <c r="H50" s="24">
        <v>0</v>
      </c>
      <c r="I50" s="24">
        <v>120.083</v>
      </c>
      <c r="J50" s="25">
        <v>0</v>
      </c>
    </row>
    <row r="51" spans="1:10" ht="24.75" hidden="1">
      <c r="A51" s="51">
        <v>1993</v>
      </c>
      <c r="B51" s="24">
        <v>0</v>
      </c>
      <c r="C51" s="24">
        <v>0</v>
      </c>
      <c r="D51" s="24">
        <v>0</v>
      </c>
      <c r="E51" s="24">
        <v>0</v>
      </c>
      <c r="F51" s="24">
        <v>15.47</v>
      </c>
      <c r="G51" s="24">
        <v>3.6349999999999998</v>
      </c>
      <c r="H51" s="24">
        <v>0</v>
      </c>
      <c r="I51" s="24">
        <f>SUM(B51:H51)</f>
        <v>19.105</v>
      </c>
      <c r="J51" s="25">
        <v>0</v>
      </c>
    </row>
    <row r="52" spans="1:10" ht="24.75" hidden="1">
      <c r="A52" s="51">
        <v>1994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5">
        <v>0</v>
      </c>
    </row>
    <row r="53" spans="1:10" ht="24.75" hidden="1">
      <c r="A53" s="51">
        <v>1995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5">
        <v>0</v>
      </c>
    </row>
    <row r="54" spans="1:10" ht="24.75" hidden="1">
      <c r="A54" s="51">
        <v>1996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5">
        <v>0</v>
      </c>
    </row>
    <row r="55" spans="1:10" ht="24.75" hidden="1">
      <c r="A55" s="51">
        <v>1997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5">
        <v>0</v>
      </c>
    </row>
    <row r="56" spans="1:10" ht="24.75" hidden="1">
      <c r="A56" s="51">
        <v>1998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5">
        <v>0</v>
      </c>
    </row>
    <row r="57" spans="1:10" ht="24.75" hidden="1">
      <c r="A57" s="51">
        <v>1999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5">
        <v>0</v>
      </c>
    </row>
    <row r="58" spans="1:10" ht="24.75" hidden="1">
      <c r="A58" s="51">
        <v>2000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5">
        <v>0</v>
      </c>
    </row>
    <row r="59" spans="1:10" ht="24.75">
      <c r="A59" s="47">
        <v>2001</v>
      </c>
      <c r="B59" s="12">
        <v>23.18</v>
      </c>
      <c r="C59" s="12">
        <v>0.10100000000000001</v>
      </c>
      <c r="D59" s="12">
        <v>28.635000000000002</v>
      </c>
      <c r="E59" s="12">
        <v>0</v>
      </c>
      <c r="F59" s="12">
        <v>0.28100000000000003</v>
      </c>
      <c r="G59" s="12">
        <v>91.745999999999995</v>
      </c>
      <c r="H59" s="12">
        <v>29.016999999999999</v>
      </c>
      <c r="I59" s="12">
        <f t="shared" ref="I59:I64" si="3">SUM(B59:H59)</f>
        <v>172.95999999999998</v>
      </c>
      <c r="J59" s="13">
        <f t="shared" ref="J59:J71" si="4">SUM(J95+J107)</f>
        <v>0</v>
      </c>
    </row>
    <row r="60" spans="1:10" ht="24.75">
      <c r="A60" s="47">
        <v>2002</v>
      </c>
      <c r="B60" s="12">
        <v>19.334</v>
      </c>
      <c r="C60" s="12">
        <v>0.122</v>
      </c>
      <c r="D60" s="12">
        <v>36.299999999999997</v>
      </c>
      <c r="E60" s="12">
        <v>0</v>
      </c>
      <c r="F60" s="12">
        <v>1.7030000000000001</v>
      </c>
      <c r="G60" s="12">
        <v>96.545000000000002</v>
      </c>
      <c r="H60" s="12">
        <v>33.031999999999996</v>
      </c>
      <c r="I60" s="12">
        <f t="shared" si="3"/>
        <v>187.036</v>
      </c>
      <c r="J60" s="13">
        <f t="shared" si="4"/>
        <v>0</v>
      </c>
    </row>
    <row r="61" spans="1:10" ht="24.75">
      <c r="A61" s="47">
        <v>2003</v>
      </c>
      <c r="B61" s="12">
        <v>8.516</v>
      </c>
      <c r="C61" s="12">
        <v>0.124</v>
      </c>
      <c r="D61" s="12">
        <v>27.498999999999999</v>
      </c>
      <c r="E61" s="12">
        <v>0</v>
      </c>
      <c r="F61" s="12">
        <v>2.153</v>
      </c>
      <c r="G61" s="12">
        <v>95.146000000000001</v>
      </c>
      <c r="H61" s="12">
        <v>37.569000000000003</v>
      </c>
      <c r="I61" s="12">
        <f t="shared" si="3"/>
        <v>171.00700000000001</v>
      </c>
      <c r="J61" s="13">
        <f t="shared" si="4"/>
        <v>0</v>
      </c>
    </row>
    <row r="62" spans="1:10" ht="24.75">
      <c r="A62" s="47">
        <v>2004</v>
      </c>
      <c r="B62" s="12">
        <v>5</v>
      </c>
      <c r="C62" s="12">
        <v>1E-3</v>
      </c>
      <c r="D62" s="12">
        <v>34</v>
      </c>
      <c r="E62" s="12">
        <v>0</v>
      </c>
      <c r="F62" s="12">
        <v>3</v>
      </c>
      <c r="G62" s="12">
        <v>93</v>
      </c>
      <c r="H62" s="12">
        <v>46</v>
      </c>
      <c r="I62" s="12">
        <f t="shared" si="3"/>
        <v>181.001</v>
      </c>
      <c r="J62" s="13">
        <f t="shared" si="4"/>
        <v>0</v>
      </c>
    </row>
    <row r="63" spans="1:10" ht="24.75">
      <c r="A63" s="47">
        <v>2005</v>
      </c>
      <c r="B63" s="12">
        <v>5.5910000000000002</v>
      </c>
      <c r="C63" s="12">
        <v>0.10100000000000001</v>
      </c>
      <c r="D63" s="12">
        <v>28.939</v>
      </c>
      <c r="E63" s="12">
        <v>0</v>
      </c>
      <c r="F63" s="12">
        <v>2.5379999999999998</v>
      </c>
      <c r="G63" s="12">
        <v>77.551000000000002</v>
      </c>
      <c r="H63" s="12">
        <v>47.276000000000003</v>
      </c>
      <c r="I63" s="12">
        <f t="shared" si="3"/>
        <v>161.99600000000001</v>
      </c>
      <c r="J63" s="13">
        <f t="shared" si="4"/>
        <v>0</v>
      </c>
    </row>
    <row r="64" spans="1:10" ht="24.75">
      <c r="A64" s="47">
        <v>2006</v>
      </c>
      <c r="B64" s="12">
        <v>8.0749999999999993</v>
      </c>
      <c r="C64" s="12">
        <v>0.124</v>
      </c>
      <c r="D64" s="12">
        <v>20.463999999999999</v>
      </c>
      <c r="E64" s="12">
        <v>0</v>
      </c>
      <c r="F64" s="12">
        <v>8.4130000000000003</v>
      </c>
      <c r="G64" s="12">
        <v>88.488</v>
      </c>
      <c r="H64" s="12">
        <v>54.927</v>
      </c>
      <c r="I64" s="12">
        <f t="shared" si="3"/>
        <v>180.49099999999999</v>
      </c>
      <c r="J64" s="13">
        <f t="shared" si="4"/>
        <v>0</v>
      </c>
    </row>
    <row r="65" spans="1:10" ht="24.75">
      <c r="A65" s="47">
        <v>2007</v>
      </c>
      <c r="B65" s="12">
        <v>5.2510000000000003</v>
      </c>
      <c r="C65" s="12">
        <v>0.219</v>
      </c>
      <c r="D65" s="12">
        <v>16.187999999999999</v>
      </c>
      <c r="E65" s="12">
        <v>0</v>
      </c>
      <c r="F65" s="12">
        <v>8.2870000000000008</v>
      </c>
      <c r="G65" s="12">
        <v>88.293999999999997</v>
      </c>
      <c r="H65" s="12">
        <v>56.570999999999998</v>
      </c>
      <c r="I65" s="12">
        <f t="shared" ref="I65:I70" si="5">SUM(B65:H65)</f>
        <v>174.81</v>
      </c>
      <c r="J65" s="13">
        <f t="shared" si="4"/>
        <v>0</v>
      </c>
    </row>
    <row r="66" spans="1:10" ht="24.75">
      <c r="A66" s="47">
        <v>2008</v>
      </c>
      <c r="B66" s="12">
        <v>4.0999999999999996</v>
      </c>
      <c r="C66" s="12">
        <v>0.2</v>
      </c>
      <c r="D66" s="12">
        <v>13.773999999999999</v>
      </c>
      <c r="E66" s="12">
        <v>4.3999999999999997E-2</v>
      </c>
      <c r="F66" s="12">
        <v>0.246</v>
      </c>
      <c r="G66" s="12">
        <v>93.602000000000004</v>
      </c>
      <c r="H66" s="12">
        <v>55.372</v>
      </c>
      <c r="I66" s="12">
        <f t="shared" si="5"/>
        <v>167.33800000000002</v>
      </c>
      <c r="J66" s="13">
        <f t="shared" si="4"/>
        <v>0</v>
      </c>
    </row>
    <row r="67" spans="1:10" ht="24.75">
      <c r="A67" s="47">
        <v>2009</v>
      </c>
      <c r="B67" s="12">
        <v>8.2289999999999992</v>
      </c>
      <c r="C67" s="12">
        <v>9.7000000000000003E-2</v>
      </c>
      <c r="D67" s="12">
        <v>9.7539999999999996</v>
      </c>
      <c r="E67" s="12">
        <v>2.4E-2</v>
      </c>
      <c r="F67" s="12">
        <v>0.44500000000000001</v>
      </c>
      <c r="G67" s="12">
        <v>68.962999999999994</v>
      </c>
      <c r="H67" s="12">
        <v>45.588999999999999</v>
      </c>
      <c r="I67" s="12">
        <f t="shared" si="5"/>
        <v>133.101</v>
      </c>
      <c r="J67" s="13">
        <f t="shared" si="4"/>
        <v>0</v>
      </c>
    </row>
    <row r="68" spans="1:10" ht="24.75">
      <c r="A68" s="47">
        <v>2010</v>
      </c>
      <c r="B68" s="12">
        <v>5</v>
      </c>
      <c r="C68" s="12">
        <v>1E-3</v>
      </c>
      <c r="D68" s="12">
        <v>16</v>
      </c>
      <c r="E68" s="12">
        <v>0</v>
      </c>
      <c r="F68" s="12">
        <v>1E-3</v>
      </c>
      <c r="G68" s="12">
        <v>107</v>
      </c>
      <c r="H68" s="12">
        <v>55</v>
      </c>
      <c r="I68" s="12">
        <f t="shared" si="5"/>
        <v>183.00200000000001</v>
      </c>
      <c r="J68" s="13">
        <f t="shared" si="4"/>
        <v>0</v>
      </c>
    </row>
    <row r="69" spans="1:10" ht="24.75">
      <c r="A69" s="47">
        <v>2011</v>
      </c>
      <c r="B69" s="12">
        <v>6</v>
      </c>
      <c r="C69" s="12">
        <v>1E-3</v>
      </c>
      <c r="D69" s="12">
        <v>16</v>
      </c>
      <c r="E69" s="12">
        <v>0</v>
      </c>
      <c r="F69" s="12">
        <v>1E-3</v>
      </c>
      <c r="G69" s="12">
        <v>90</v>
      </c>
      <c r="H69" s="12">
        <v>61</v>
      </c>
      <c r="I69" s="12">
        <f t="shared" si="5"/>
        <v>173.00200000000001</v>
      </c>
      <c r="J69" s="13">
        <f t="shared" si="4"/>
        <v>0</v>
      </c>
    </row>
    <row r="70" spans="1:10" ht="24.75">
      <c r="A70" s="47">
        <v>2012</v>
      </c>
      <c r="B70" s="12">
        <v>9</v>
      </c>
      <c r="C70" s="12">
        <v>1</v>
      </c>
      <c r="D70" s="12">
        <v>19</v>
      </c>
      <c r="E70" s="12">
        <v>0</v>
      </c>
      <c r="F70" s="12">
        <v>1E-3</v>
      </c>
      <c r="G70" s="12">
        <v>82</v>
      </c>
      <c r="H70" s="12">
        <v>63</v>
      </c>
      <c r="I70" s="12">
        <f t="shared" si="5"/>
        <v>174.001</v>
      </c>
      <c r="J70" s="13">
        <f t="shared" si="4"/>
        <v>0</v>
      </c>
    </row>
    <row r="71" spans="1:10" ht="24.75">
      <c r="A71" s="47">
        <v>2013</v>
      </c>
      <c r="B71" s="12">
        <v>10.276</v>
      </c>
      <c r="C71" s="12">
        <v>0.48299999999999998</v>
      </c>
      <c r="D71" s="12">
        <v>17.445</v>
      </c>
      <c r="E71" s="12">
        <v>0</v>
      </c>
      <c r="F71" s="12">
        <v>3.7999999999999999E-2</v>
      </c>
      <c r="G71" s="12">
        <v>80.668999999999997</v>
      </c>
      <c r="H71" s="12">
        <v>62.25</v>
      </c>
      <c r="I71" s="12">
        <f t="shared" ref="I71:I76" si="6">SUM(B71:H71)</f>
        <v>171.161</v>
      </c>
      <c r="J71" s="13">
        <f t="shared" si="4"/>
        <v>0</v>
      </c>
    </row>
    <row r="72" spans="1:10" ht="24.75">
      <c r="A72" s="47">
        <v>2014</v>
      </c>
      <c r="B72" s="12">
        <v>11.058</v>
      </c>
      <c r="C72" s="12">
        <v>0.503</v>
      </c>
      <c r="D72" s="12">
        <v>14.999000000000001</v>
      </c>
      <c r="E72" s="12">
        <v>0</v>
      </c>
      <c r="F72" s="12">
        <v>2.3E-2</v>
      </c>
      <c r="G72" s="12">
        <v>95</v>
      </c>
      <c r="H72" s="12">
        <v>60.874000000000002</v>
      </c>
      <c r="I72" s="12">
        <f t="shared" si="6"/>
        <v>182.45699999999999</v>
      </c>
      <c r="J72" s="13">
        <f t="shared" ref="J72:J82" si="7">SUM(J107+J119)</f>
        <v>0</v>
      </c>
    </row>
    <row r="73" spans="1:10" ht="24.75">
      <c r="A73" s="47">
        <v>2015</v>
      </c>
      <c r="B73" s="12">
        <v>16.219000000000001</v>
      </c>
      <c r="C73" s="12">
        <v>0.48399999999999999</v>
      </c>
      <c r="D73" s="12">
        <v>13.808999999999999</v>
      </c>
      <c r="E73" s="12">
        <v>3.5999999999999997E-2</v>
      </c>
      <c r="F73" s="12">
        <v>0.13300000000000001</v>
      </c>
      <c r="G73" s="12">
        <v>85.77</v>
      </c>
      <c r="H73" s="12">
        <v>68.466999999999999</v>
      </c>
      <c r="I73" s="12">
        <f t="shared" si="6"/>
        <v>184.91800000000001</v>
      </c>
      <c r="J73" s="13">
        <f t="shared" si="7"/>
        <v>0</v>
      </c>
    </row>
    <row r="74" spans="1:10" ht="24.75">
      <c r="A74" s="47">
        <v>2016</v>
      </c>
      <c r="B74" s="12">
        <v>19.298999999999999</v>
      </c>
      <c r="C74" s="12">
        <v>0.41199999999999998</v>
      </c>
      <c r="D74" s="12">
        <v>13.105</v>
      </c>
      <c r="E74" s="12">
        <v>4.1000000000000002E-2</v>
      </c>
      <c r="F74" s="12">
        <v>6.0999999999999999E-2</v>
      </c>
      <c r="G74" s="12">
        <v>67.525000000000006</v>
      </c>
      <c r="H74" s="12">
        <v>61.616</v>
      </c>
      <c r="I74" s="12">
        <f t="shared" si="6"/>
        <v>162.05900000000003</v>
      </c>
      <c r="J74" s="13">
        <f t="shared" si="7"/>
        <v>0</v>
      </c>
    </row>
    <row r="75" spans="1:10" ht="24.75">
      <c r="A75" s="47">
        <v>2017</v>
      </c>
      <c r="B75" s="12">
        <v>10.801</v>
      </c>
      <c r="C75" s="12">
        <v>0.436</v>
      </c>
      <c r="D75" s="12">
        <v>12.821</v>
      </c>
      <c r="E75" s="12">
        <v>9.7000000000000003E-2</v>
      </c>
      <c r="F75" s="12">
        <v>1.6E-2</v>
      </c>
      <c r="G75" s="12">
        <f>12.883+5.729+1.544+0.107+0.001+1.148+48.725</f>
        <v>70.137</v>
      </c>
      <c r="H75" s="12">
        <v>59.072000000000003</v>
      </c>
      <c r="I75" s="12">
        <f t="shared" si="6"/>
        <v>153.38</v>
      </c>
      <c r="J75" s="13">
        <f t="shared" si="7"/>
        <v>0</v>
      </c>
    </row>
    <row r="76" spans="1:10" ht="24.75">
      <c r="A76" s="47">
        <v>2018</v>
      </c>
      <c r="B76" s="12">
        <v>6.4779999999999998</v>
      </c>
      <c r="C76" s="12">
        <v>0.128</v>
      </c>
      <c r="D76" s="12">
        <v>12.788</v>
      </c>
      <c r="E76" s="12">
        <v>7.6999999999999999E-2</v>
      </c>
      <c r="F76" s="12">
        <v>7.0000000000000001E-3</v>
      </c>
      <c r="G76" s="12">
        <f>11.861+5.9+1.19+0.378+0.159+1.43+58.733</f>
        <v>79.650999999999996</v>
      </c>
      <c r="H76" s="12">
        <v>61.753999999999998</v>
      </c>
      <c r="I76" s="12">
        <f t="shared" si="6"/>
        <v>160.88299999999998</v>
      </c>
      <c r="J76" s="13">
        <f t="shared" si="7"/>
        <v>0</v>
      </c>
    </row>
    <row r="77" spans="1:10" ht="24.75">
      <c r="A77" s="47">
        <v>2019</v>
      </c>
      <c r="B77" s="12">
        <v>11.500999999999999</v>
      </c>
      <c r="C77" s="12">
        <v>0.03</v>
      </c>
      <c r="D77" s="12">
        <v>11.039</v>
      </c>
      <c r="E77" s="12">
        <v>0.11600000000000001</v>
      </c>
      <c r="F77" s="12">
        <v>5.1999999999999998E-2</v>
      </c>
      <c r="G77" s="12">
        <f>11.501+5.862+1.254+0.415+0.006+0.859+62.227</f>
        <v>82.123999999999995</v>
      </c>
      <c r="H77" s="12">
        <v>50.518000000000001</v>
      </c>
      <c r="I77" s="12">
        <f>SUM(B77:H77)</f>
        <v>155.38</v>
      </c>
      <c r="J77" s="13">
        <f t="shared" si="7"/>
        <v>0</v>
      </c>
    </row>
    <row r="78" spans="1:10" ht="24.75">
      <c r="A78" s="47">
        <v>2020</v>
      </c>
      <c r="B78" s="12">
        <v>11.224</v>
      </c>
      <c r="C78" s="12">
        <v>0.03</v>
      </c>
      <c r="D78" s="12">
        <v>11.478999999999999</v>
      </c>
      <c r="E78" s="12">
        <v>9.0999999999999998E-2</v>
      </c>
      <c r="F78" s="12">
        <v>2.9000000000000001E-2</v>
      </c>
      <c r="G78" s="12">
        <f>15.265+7.041+0.001+1.691+0.524+0.003+0.62+61.714+0.69</f>
        <v>87.549000000000007</v>
      </c>
      <c r="H78" s="12">
        <v>44.523000000000003</v>
      </c>
      <c r="I78" s="12">
        <f>SUM(B78:H78)</f>
        <v>154.92500000000001</v>
      </c>
      <c r="J78" s="13">
        <f t="shared" si="7"/>
        <v>0</v>
      </c>
    </row>
    <row r="79" spans="1:10" ht="24.75">
      <c r="A79" s="47">
        <v>2021</v>
      </c>
      <c r="B79" s="12">
        <v>7.133</v>
      </c>
      <c r="C79" s="12">
        <v>0.02</v>
      </c>
      <c r="D79" s="12">
        <v>14.292</v>
      </c>
      <c r="E79" s="12">
        <v>6.8000000000000005E-2</v>
      </c>
      <c r="F79" s="12">
        <v>3.6999999999999998E-2</v>
      </c>
      <c r="G79" s="12">
        <f>52.915+8.049+1.61+0.088+0.113+20.693</f>
        <v>83.468000000000004</v>
      </c>
      <c r="H79" s="12">
        <v>52.85</v>
      </c>
      <c r="I79" s="12">
        <f>SUM(B79:H79)</f>
        <v>157.86799999999999</v>
      </c>
      <c r="J79" s="13">
        <f t="shared" si="7"/>
        <v>0</v>
      </c>
    </row>
    <row r="80" spans="1:10" ht="24.75">
      <c r="A80" s="47">
        <v>2022</v>
      </c>
      <c r="B80" s="12">
        <v>8.4570000000000007</v>
      </c>
      <c r="C80" s="12">
        <v>0.02</v>
      </c>
      <c r="D80" s="12">
        <v>8.875</v>
      </c>
      <c r="E80" s="12">
        <v>4.8000000000000001E-2</v>
      </c>
      <c r="F80" s="12">
        <v>0.219</v>
      </c>
      <c r="G80" s="12">
        <f>46.359+5.778+1.685+0.172+0.004+20.581</f>
        <v>74.578999999999994</v>
      </c>
      <c r="H80" s="12">
        <v>51.280999999999999</v>
      </c>
      <c r="I80" s="12">
        <f>SUM(B80:H80)</f>
        <v>143.47899999999998</v>
      </c>
      <c r="J80" s="13">
        <f t="shared" si="7"/>
        <v>0</v>
      </c>
    </row>
    <row r="81" spans="1:10" ht="24.75">
      <c r="A81" s="47">
        <v>2023</v>
      </c>
      <c r="B81" s="12">
        <v>10.638999999999999</v>
      </c>
      <c r="C81" s="12">
        <v>0.02</v>
      </c>
      <c r="D81" s="12">
        <v>11.47</v>
      </c>
      <c r="E81" s="12">
        <v>3.7999999999999999E-2</v>
      </c>
      <c r="F81" s="12">
        <v>1.464</v>
      </c>
      <c r="G81" s="12">
        <f>61.388+5.819+2.558+2.196+24.266</f>
        <v>96.226999999999975</v>
      </c>
      <c r="H81" s="12">
        <v>43.598999999999997</v>
      </c>
      <c r="I81" s="12">
        <f>SUM(B81:H81)</f>
        <v>163.45699999999997</v>
      </c>
      <c r="J81" s="13">
        <f t="shared" si="7"/>
        <v>0</v>
      </c>
    </row>
    <row r="82" spans="1:10" ht="24.75">
      <c r="A82" s="47">
        <v>2024</v>
      </c>
      <c r="B82" s="12">
        <v>7.6310000000000002</v>
      </c>
      <c r="C82" s="12">
        <v>0.03</v>
      </c>
      <c r="D82" s="12">
        <v>13.087</v>
      </c>
      <c r="E82" s="12">
        <v>1.7000000000000001E-2</v>
      </c>
      <c r="F82" s="12">
        <v>0.64500000000000002</v>
      </c>
      <c r="G82" s="12">
        <f>42.665+5.903+1.881+0.435+26.099</f>
        <v>76.983000000000004</v>
      </c>
      <c r="H82" s="12">
        <v>49.156999999999996</v>
      </c>
      <c r="I82" s="12">
        <f>SUM(B82:H82)</f>
        <v>147.55000000000001</v>
      </c>
      <c r="J82" s="13">
        <f t="shared" si="7"/>
        <v>0</v>
      </c>
    </row>
    <row r="83" spans="1:10" ht="24.75">
      <c r="A83" s="47"/>
      <c r="B83" s="19"/>
      <c r="C83" s="19"/>
      <c r="D83" s="19"/>
      <c r="E83" s="19"/>
      <c r="F83" s="19"/>
      <c r="G83" s="19"/>
      <c r="H83" s="19"/>
      <c r="I83" s="19"/>
      <c r="J83" s="20"/>
    </row>
    <row r="84" spans="1:10" ht="24.75">
      <c r="A84" s="52" t="s">
        <v>28</v>
      </c>
      <c r="B84" s="19"/>
      <c r="C84" s="19"/>
      <c r="D84" s="19"/>
      <c r="E84" s="19"/>
      <c r="F84" s="19"/>
      <c r="G84" s="19"/>
      <c r="H84" s="19"/>
      <c r="I84" s="19"/>
      <c r="J84" s="20"/>
    </row>
    <row r="85" spans="1:10" ht="24.75">
      <c r="A85" s="52" t="s">
        <v>36</v>
      </c>
      <c r="B85" s="19"/>
      <c r="C85" s="19"/>
      <c r="D85" s="19"/>
      <c r="E85" s="19"/>
      <c r="F85" s="19"/>
      <c r="G85" s="19"/>
      <c r="H85" s="19"/>
      <c r="I85" s="19"/>
      <c r="J85" s="20"/>
    </row>
    <row r="86" spans="1:10" ht="13.5" thickBot="1">
      <c r="A86" s="53"/>
      <c r="B86" s="44"/>
      <c r="C86" s="44"/>
      <c r="D86" s="44"/>
      <c r="E86" s="44"/>
      <c r="F86" s="44"/>
      <c r="G86" s="44"/>
      <c r="H86" s="44"/>
      <c r="I86" s="44"/>
      <c r="J86" s="45"/>
    </row>
    <row r="88" spans="1:10" ht="23.25">
      <c r="A88" s="8"/>
      <c r="B88" s="9"/>
      <c r="C88" s="9"/>
      <c r="D88" s="9"/>
      <c r="E88" s="9"/>
    </row>
    <row r="89" spans="1:10" ht="23.25">
      <c r="A89" s="8"/>
      <c r="B89" s="9"/>
      <c r="C89" s="9"/>
      <c r="D89" s="9"/>
      <c r="E89" s="9"/>
    </row>
  </sheetData>
  <mergeCells count="2">
    <mergeCell ref="G1:J1"/>
    <mergeCell ref="B7:J7"/>
  </mergeCells>
  <phoneticPr fontId="0" type="noConversion"/>
  <pageMargins left="0.78740157480314965" right="0.19685039370078741" top="0.78740157480314965" bottom="0.6692913385826772" header="0.51181102362204722" footer="0.51181102362204722"/>
  <pageSetup paperSize="9" scale="37" orientation="portrait" horizontalDpi="4294967295" verticalDpi="4294967295" r:id="rId1"/>
  <headerFooter alignWithMargins="0">
    <oddFooter>&amp;L&amp;"Arial,Standard"&amp;16Übersichten/Zeitreihen/Internet/&amp;F&amp;R&amp;"Arial,Standard"&amp;16Statistik der Kohlenwirtschaft e.V., Bergheim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E2265-F1C6-494F-BEF9-C62EB20C8E52}">
  <sheetPr>
    <pageSetUpPr fitToPage="1"/>
  </sheetPr>
  <dimension ref="A1:J72"/>
  <sheetViews>
    <sheetView topLeftCell="C63" zoomScale="50" zoomScaleNormal="50" workbookViewId="0">
      <pane ySplit="1830" topLeftCell="A16" activePane="bottomLeft"/>
      <selection pane="bottomLeft" activeCell="I68" sqref="I68"/>
      <selection activeCell="H6" sqref="H6"/>
    </sheetView>
  </sheetViews>
  <sheetFormatPr defaultColWidth="11.42578125" defaultRowHeight="12.75"/>
  <cols>
    <col min="1" max="1" width="12.5703125" customWidth="1"/>
    <col min="2" max="10" width="20.7109375" style="3" customWidth="1"/>
  </cols>
  <sheetData>
    <row r="1" spans="1:10" ht="26.25" thickBot="1">
      <c r="G1" s="66" t="s">
        <v>0</v>
      </c>
      <c r="H1" s="66"/>
      <c r="I1" s="66"/>
      <c r="J1" s="66"/>
    </row>
    <row r="2" spans="1:10" s="1" customFormat="1" ht="35.1" customHeight="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s="57" customFormat="1" ht="42" customHeight="1" thickBot="1">
      <c r="A3" s="54" t="s">
        <v>2</v>
      </c>
      <c r="B3" s="55"/>
      <c r="C3" s="55"/>
      <c r="D3" s="55"/>
      <c r="E3" s="55"/>
      <c r="F3" s="55"/>
      <c r="G3" s="55"/>
      <c r="H3" s="55"/>
      <c r="I3" s="55"/>
      <c r="J3" s="56"/>
    </row>
    <row r="4" spans="1:10" s="6" customFormat="1" ht="21" customHeight="1">
      <c r="A4" s="29" t="s">
        <v>3</v>
      </c>
      <c r="B4" s="30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/>
      <c r="J4" s="58" t="s">
        <v>11</v>
      </c>
    </row>
    <row r="5" spans="1:10" s="6" customFormat="1" ht="21" customHeight="1">
      <c r="A5" s="32"/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18</v>
      </c>
      <c r="I5" s="4" t="s">
        <v>19</v>
      </c>
      <c r="J5" s="59" t="s">
        <v>20</v>
      </c>
    </row>
    <row r="6" spans="1:10" s="6" customFormat="1" ht="21" customHeight="1" thickBot="1">
      <c r="A6" s="33"/>
      <c r="B6" s="34" t="s">
        <v>21</v>
      </c>
      <c r="C6" s="34" t="s">
        <v>22</v>
      </c>
      <c r="D6" s="34"/>
      <c r="E6" s="34" t="s">
        <v>23</v>
      </c>
      <c r="F6" s="34" t="s">
        <v>24</v>
      </c>
      <c r="G6" s="34"/>
      <c r="H6" s="34" t="s">
        <v>38</v>
      </c>
      <c r="I6" s="34"/>
      <c r="J6" s="60"/>
    </row>
    <row r="7" spans="1:10" s="2" customFormat="1" ht="24.95" customHeight="1">
      <c r="A7" s="49"/>
      <c r="B7" s="70" t="s">
        <v>39</v>
      </c>
      <c r="C7" s="71"/>
      <c r="D7" s="71"/>
      <c r="E7" s="71"/>
      <c r="F7" s="71"/>
      <c r="G7" s="71"/>
      <c r="H7" s="71"/>
      <c r="I7" s="71"/>
      <c r="J7" s="72"/>
    </row>
    <row r="8" spans="1:10" s="42" customFormat="1" ht="24.95" customHeight="1">
      <c r="A8" s="47">
        <v>1985</v>
      </c>
      <c r="B8" s="12">
        <v>75</v>
      </c>
      <c r="C8" s="62" t="s">
        <v>40</v>
      </c>
      <c r="D8" s="12">
        <v>254</v>
      </c>
      <c r="E8" s="62" t="s">
        <v>41</v>
      </c>
      <c r="F8" s="12">
        <v>28</v>
      </c>
      <c r="G8" s="12">
        <v>55</v>
      </c>
      <c r="H8" s="12">
        <v>138</v>
      </c>
      <c r="I8" s="12">
        <v>448</v>
      </c>
      <c r="J8" s="61">
        <v>2425</v>
      </c>
    </row>
    <row r="9" spans="1:10" s="2" customFormat="1" ht="24.95" customHeight="1">
      <c r="A9" s="47">
        <v>1986</v>
      </c>
      <c r="B9" s="12">
        <v>75</v>
      </c>
      <c r="C9" s="62" t="s">
        <v>40</v>
      </c>
      <c r="D9" s="12">
        <v>237</v>
      </c>
      <c r="E9" s="62" t="s">
        <v>42</v>
      </c>
      <c r="F9" s="12">
        <v>27</v>
      </c>
      <c r="G9" s="12">
        <v>50</v>
      </c>
      <c r="H9" s="12">
        <v>124</v>
      </c>
      <c r="I9" s="12">
        <v>447</v>
      </c>
      <c r="J9" s="61">
        <v>2085</v>
      </c>
    </row>
    <row r="10" spans="1:10" s="2" customFormat="1" ht="24.95" customHeight="1">
      <c r="A10" s="47">
        <v>1987</v>
      </c>
      <c r="B10" s="12">
        <v>109</v>
      </c>
      <c r="C10" s="62" t="s">
        <v>40</v>
      </c>
      <c r="D10" s="12">
        <v>250</v>
      </c>
      <c r="E10" s="62" t="s">
        <v>43</v>
      </c>
      <c r="F10" s="12">
        <v>23</v>
      </c>
      <c r="G10" s="12">
        <v>45</v>
      </c>
      <c r="H10" s="12">
        <v>107</v>
      </c>
      <c r="I10" s="12">
        <v>425</v>
      </c>
      <c r="J10" s="61">
        <v>2109</v>
      </c>
    </row>
    <row r="11" spans="1:10" s="2" customFormat="1" ht="24.95" customHeight="1">
      <c r="A11" s="47">
        <v>1988</v>
      </c>
      <c r="B11" s="12">
        <v>106</v>
      </c>
      <c r="C11" s="62" t="s">
        <v>40</v>
      </c>
      <c r="D11" s="12">
        <v>274</v>
      </c>
      <c r="E11" s="62" t="s">
        <v>44</v>
      </c>
      <c r="F11" s="12">
        <v>24</v>
      </c>
      <c r="G11" s="12">
        <v>44</v>
      </c>
      <c r="H11" s="12">
        <v>151</v>
      </c>
      <c r="I11" s="12">
        <v>361</v>
      </c>
      <c r="J11" s="61">
        <v>2193</v>
      </c>
    </row>
    <row r="12" spans="1:10" s="2" customFormat="1" ht="24.95" customHeight="1">
      <c r="A12" s="47">
        <v>1989</v>
      </c>
      <c r="B12" s="12">
        <v>126</v>
      </c>
      <c r="C12" s="62" t="s">
        <v>40</v>
      </c>
      <c r="D12" s="12">
        <v>323</v>
      </c>
      <c r="E12" s="62" t="s">
        <v>45</v>
      </c>
      <c r="F12" s="12">
        <v>22</v>
      </c>
      <c r="G12" s="12">
        <v>57</v>
      </c>
      <c r="H12" s="12">
        <v>200</v>
      </c>
      <c r="I12" s="12">
        <v>406</v>
      </c>
      <c r="J12" s="61">
        <v>2565</v>
      </c>
    </row>
    <row r="13" spans="1:10" s="2" customFormat="1" ht="24.95" customHeight="1">
      <c r="A13" s="47">
        <v>1990</v>
      </c>
      <c r="B13" s="12">
        <v>182</v>
      </c>
      <c r="C13" s="62" t="s">
        <v>40</v>
      </c>
      <c r="D13" s="12">
        <v>466</v>
      </c>
      <c r="E13" s="62" t="s">
        <v>46</v>
      </c>
      <c r="F13" s="12">
        <v>24</v>
      </c>
      <c r="G13" s="12">
        <v>65</v>
      </c>
      <c r="H13" s="12">
        <v>140</v>
      </c>
      <c r="I13" s="12">
        <v>445</v>
      </c>
      <c r="J13" s="61">
        <v>2739</v>
      </c>
    </row>
    <row r="14" spans="1:10" s="2" customFormat="1" ht="11.45" customHeight="1">
      <c r="A14" s="47"/>
      <c r="B14" s="12"/>
      <c r="C14" s="62"/>
      <c r="D14" s="12"/>
      <c r="E14" s="62"/>
      <c r="F14" s="12"/>
      <c r="G14" s="12"/>
      <c r="H14" s="12"/>
      <c r="I14" s="12"/>
      <c r="J14" s="61"/>
    </row>
    <row r="15" spans="1:10" s="2" customFormat="1" ht="24.95" customHeight="1">
      <c r="A15" s="47">
        <v>1991</v>
      </c>
      <c r="B15" s="12">
        <v>208</v>
      </c>
      <c r="C15" s="62" t="s">
        <v>40</v>
      </c>
      <c r="D15" s="12">
        <v>585</v>
      </c>
      <c r="E15" s="62" t="s">
        <v>47</v>
      </c>
      <c r="F15" s="12">
        <v>25</v>
      </c>
      <c r="G15" s="12">
        <v>53</v>
      </c>
      <c r="H15" s="12">
        <v>293</v>
      </c>
      <c r="I15" s="12">
        <v>433</v>
      </c>
      <c r="J15" s="61">
        <v>3398</v>
      </c>
    </row>
    <row r="16" spans="1:10" s="2" customFormat="1" ht="24.95" customHeight="1">
      <c r="A16" s="47">
        <v>1992</v>
      </c>
      <c r="B16" s="12">
        <v>234.31800000000001</v>
      </c>
      <c r="C16" s="62" t="s">
        <v>40</v>
      </c>
      <c r="D16" s="12">
        <v>418.45699999999999</v>
      </c>
      <c r="E16" s="62" t="s">
        <v>48</v>
      </c>
      <c r="F16" s="12">
        <v>28.614000000000001</v>
      </c>
      <c r="G16" s="12">
        <v>90.64</v>
      </c>
      <c r="H16" s="12">
        <v>392</v>
      </c>
      <c r="I16" s="12">
        <v>361.38</v>
      </c>
      <c r="J16" s="61">
        <v>3399.7559999999999</v>
      </c>
    </row>
    <row r="17" spans="1:10" s="2" customFormat="1" ht="24.95" customHeight="1">
      <c r="A17" s="47">
        <v>1993</v>
      </c>
      <c r="B17" s="12">
        <v>238.21</v>
      </c>
      <c r="C17" s="62" t="s">
        <v>40</v>
      </c>
      <c r="D17" s="12">
        <v>359.52800000000002</v>
      </c>
      <c r="E17" s="62" t="s">
        <v>49</v>
      </c>
      <c r="F17" s="12">
        <v>19.405999999999999</v>
      </c>
      <c r="G17" s="12">
        <v>128.76600000000002</v>
      </c>
      <c r="H17" s="12">
        <v>231</v>
      </c>
      <c r="I17" s="12">
        <v>311.488</v>
      </c>
      <c r="J17" s="61">
        <v>3179.02</v>
      </c>
    </row>
    <row r="18" spans="1:10" ht="24.75">
      <c r="A18" s="47">
        <v>1994</v>
      </c>
      <c r="B18" s="12">
        <f t="shared" ref="B18:J19" si="0">SUM(B28+B38)</f>
        <v>197.01400000000001</v>
      </c>
      <c r="C18" s="62" t="s">
        <v>40</v>
      </c>
      <c r="D18" s="12">
        <f t="shared" si="0"/>
        <v>270.52499999999998</v>
      </c>
      <c r="E18" s="62" t="s">
        <v>50</v>
      </c>
      <c r="F18" s="12">
        <f t="shared" si="0"/>
        <v>22.867000000000001</v>
      </c>
      <c r="G18" s="12">
        <f t="shared" si="0"/>
        <v>116.069</v>
      </c>
      <c r="H18" s="12">
        <f t="shared" si="0"/>
        <v>224.12600000000003</v>
      </c>
      <c r="I18" s="12">
        <f t="shared" si="0"/>
        <v>299.125</v>
      </c>
      <c r="J18" s="61">
        <f t="shared" si="0"/>
        <v>3170.8820000000001</v>
      </c>
    </row>
    <row r="19" spans="1:10" ht="24.75">
      <c r="A19" s="47">
        <v>1995</v>
      </c>
      <c r="B19" s="12">
        <f t="shared" si="0"/>
        <v>194.071</v>
      </c>
      <c r="C19" s="12">
        <f>SUM(C29+C39)</f>
        <v>1488</v>
      </c>
      <c r="D19" s="12">
        <f t="shared" si="0"/>
        <v>278.17899999999997</v>
      </c>
      <c r="E19" s="62" t="s">
        <v>51</v>
      </c>
      <c r="F19" s="12">
        <f t="shared" si="0"/>
        <v>17.995000000000001</v>
      </c>
      <c r="G19" s="12">
        <f t="shared" si="0"/>
        <v>118.837</v>
      </c>
      <c r="H19" s="12">
        <f>SUM(H29+H39)</f>
        <v>222.88499999999999</v>
      </c>
      <c r="I19" s="12">
        <f t="shared" si="0"/>
        <v>290.69299999999998</v>
      </c>
      <c r="J19" s="61">
        <f t="shared" si="0"/>
        <v>3146.7860000000001</v>
      </c>
    </row>
    <row r="20" spans="1:10" ht="24.75">
      <c r="A20" s="47">
        <v>1996</v>
      </c>
      <c r="B20" s="12">
        <f>SUM(B30+B40)</f>
        <v>242.96599999999998</v>
      </c>
      <c r="C20" s="12">
        <f>SUM(C30+C40)</f>
        <v>1405</v>
      </c>
      <c r="D20" s="12">
        <f>SUM(D30+D40)</f>
        <v>257.74799999999999</v>
      </c>
      <c r="E20" s="63" t="s">
        <v>52</v>
      </c>
      <c r="F20" s="12">
        <f>SUM(F30+F40)</f>
        <v>21.038</v>
      </c>
      <c r="G20" s="12">
        <f>SUM(G30+G40)</f>
        <v>104.78400000000001</v>
      </c>
      <c r="H20" s="12">
        <f>SUM(H30+H40)</f>
        <v>215.09199999999998</v>
      </c>
      <c r="I20" s="12">
        <f>SUM(I30+I40)</f>
        <v>311.79599999999999</v>
      </c>
      <c r="J20" s="61">
        <v>3068</v>
      </c>
    </row>
    <row r="21" spans="1:10" ht="24.75">
      <c r="A21" s="47">
        <v>1997</v>
      </c>
      <c r="B21" s="12">
        <f t="shared" ref="B21:J26" si="1">SUM(B31+B41)</f>
        <v>259.32900000000001</v>
      </c>
      <c r="C21" s="12">
        <f t="shared" si="1"/>
        <v>1458</v>
      </c>
      <c r="D21" s="12">
        <f t="shared" si="1"/>
        <v>241.10499999999999</v>
      </c>
      <c r="E21" s="63" t="s">
        <v>53</v>
      </c>
      <c r="F21" s="12">
        <f t="shared" si="1"/>
        <v>22.381</v>
      </c>
      <c r="G21" s="12">
        <f t="shared" si="1"/>
        <v>95.579000000000008</v>
      </c>
      <c r="H21" s="12">
        <f t="shared" si="1"/>
        <v>214.65199999999999</v>
      </c>
      <c r="I21" s="12">
        <f t="shared" si="1"/>
        <v>302.322</v>
      </c>
      <c r="J21" s="61">
        <f t="shared" si="1"/>
        <v>3120.3320000000003</v>
      </c>
    </row>
    <row r="22" spans="1:10" ht="24.75">
      <c r="A22" s="47">
        <v>1998</v>
      </c>
      <c r="B22" s="12">
        <f>SUM(B32+B42)</f>
        <v>313.50400000000002</v>
      </c>
      <c r="C22" s="12">
        <f t="shared" si="1"/>
        <v>1677</v>
      </c>
      <c r="D22" s="12">
        <f t="shared" si="1"/>
        <v>241.37100000000001</v>
      </c>
      <c r="E22" s="63" t="s">
        <v>54</v>
      </c>
      <c r="F22" s="12">
        <f t="shared" si="1"/>
        <v>22.553000000000001</v>
      </c>
      <c r="G22" s="12">
        <f t="shared" si="1"/>
        <v>94.914000000000001</v>
      </c>
      <c r="H22" s="12">
        <f t="shared" si="1"/>
        <v>221</v>
      </c>
      <c r="I22" s="12">
        <f t="shared" si="1"/>
        <v>250.13399999999999</v>
      </c>
      <c r="J22" s="61">
        <f t="shared" si="1"/>
        <v>3059.4740000000002</v>
      </c>
    </row>
    <row r="23" spans="1:10" ht="24.75">
      <c r="A23" s="47">
        <v>1999</v>
      </c>
      <c r="B23" s="12">
        <f>SUM(B33+B43)</f>
        <v>406.67099999999999</v>
      </c>
      <c r="C23" s="12">
        <f t="shared" si="1"/>
        <v>1756.616</v>
      </c>
      <c r="D23" s="12">
        <f t="shared" si="1"/>
        <v>213.21099999999998</v>
      </c>
      <c r="E23" s="12">
        <f t="shared" si="1"/>
        <v>42.997</v>
      </c>
      <c r="F23" s="12">
        <f t="shared" si="1"/>
        <v>22.63</v>
      </c>
      <c r="G23" s="12">
        <f t="shared" si="1"/>
        <v>96.415999999999997</v>
      </c>
      <c r="H23" s="12">
        <f t="shared" si="1"/>
        <v>220.42700000000002</v>
      </c>
      <c r="I23" s="12">
        <f t="shared" si="1"/>
        <v>224.886</v>
      </c>
      <c r="J23" s="61">
        <f t="shared" si="1"/>
        <v>2983.8540000000003</v>
      </c>
    </row>
    <row r="24" spans="1:10" ht="24.75">
      <c r="A24" s="47">
        <v>2000</v>
      </c>
      <c r="B24" s="12">
        <f>SUM(B34+B44)</f>
        <v>532.38499999999999</v>
      </c>
      <c r="C24" s="12">
        <f t="shared" si="1"/>
        <v>1779.3620000000001</v>
      </c>
      <c r="D24" s="12">
        <f t="shared" si="1"/>
        <v>217.435</v>
      </c>
      <c r="E24" s="12">
        <f t="shared" si="1"/>
        <v>44.89</v>
      </c>
      <c r="F24" s="12">
        <f t="shared" si="1"/>
        <v>20.753</v>
      </c>
      <c r="G24" s="12">
        <f t="shared" si="1"/>
        <v>96.230999999999995</v>
      </c>
      <c r="H24" s="12">
        <f t="shared" si="1"/>
        <v>251.04900000000001</v>
      </c>
      <c r="I24" s="12">
        <f t="shared" si="1"/>
        <v>288.24599999999998</v>
      </c>
      <c r="J24" s="61">
        <f t="shared" si="1"/>
        <v>3230.3510000000001</v>
      </c>
    </row>
    <row r="25" spans="1:10" ht="24.75">
      <c r="A25" s="47">
        <v>2001</v>
      </c>
      <c r="B25" s="12">
        <f>SUM(B35+B45)</f>
        <v>547.49</v>
      </c>
      <c r="C25" s="12">
        <f t="shared" si="1"/>
        <v>1665.625</v>
      </c>
      <c r="D25" s="12">
        <f t="shared" si="1"/>
        <v>235.488</v>
      </c>
      <c r="E25" s="12">
        <f t="shared" si="1"/>
        <v>37.276000000000003</v>
      </c>
      <c r="F25" s="12">
        <f t="shared" si="1"/>
        <v>23.870999999999999</v>
      </c>
      <c r="G25" s="12">
        <f t="shared" si="1"/>
        <v>91.994</v>
      </c>
      <c r="H25" s="12">
        <f t="shared" si="1"/>
        <v>273.02700000000004</v>
      </c>
      <c r="I25" s="12">
        <f t="shared" si="1"/>
        <v>344.48599999999999</v>
      </c>
      <c r="J25" s="61">
        <f t="shared" si="1"/>
        <v>3219.2570000000001</v>
      </c>
    </row>
    <row r="26" spans="1:10" ht="24.75">
      <c r="A26" s="47">
        <v>2002</v>
      </c>
      <c r="B26" s="12">
        <f>SUM(B36+B46)</f>
        <v>582.36199999999997</v>
      </c>
      <c r="C26" s="12">
        <f t="shared" si="1"/>
        <v>1542.357</v>
      </c>
      <c r="D26" s="12">
        <f t="shared" si="1"/>
        <v>224.99799999999999</v>
      </c>
      <c r="E26" s="12">
        <f t="shared" si="1"/>
        <v>42.219000000000001</v>
      </c>
      <c r="F26" s="12">
        <f t="shared" si="1"/>
        <v>23.236000000000001</v>
      </c>
      <c r="G26" s="12">
        <f t="shared" si="1"/>
        <v>85.522000000000006</v>
      </c>
      <c r="H26" s="12">
        <f t="shared" si="1"/>
        <v>328.25800000000004</v>
      </c>
      <c r="I26" s="12">
        <f t="shared" si="1"/>
        <v>364.47900000000004</v>
      </c>
      <c r="J26" s="61">
        <f t="shared" si="1"/>
        <v>3193.431</v>
      </c>
    </row>
    <row r="27" spans="1:10" s="43" customFormat="1" ht="24.75" hidden="1">
      <c r="A27" s="47"/>
      <c r="B27" s="14" t="s">
        <v>26</v>
      </c>
      <c r="C27" s="15"/>
      <c r="D27" s="15"/>
      <c r="E27" s="15"/>
      <c r="F27" s="15"/>
      <c r="G27" s="15"/>
      <c r="H27" s="15"/>
      <c r="I27" s="15"/>
      <c r="J27" s="16"/>
    </row>
    <row r="28" spans="1:10" s="43" customFormat="1" ht="24.75" hidden="1">
      <c r="A28" s="47">
        <v>1994</v>
      </c>
      <c r="B28" s="12">
        <v>197.01400000000001</v>
      </c>
      <c r="C28" s="12">
        <v>0</v>
      </c>
      <c r="D28" s="12">
        <v>258.35599999999999</v>
      </c>
      <c r="E28" s="12">
        <v>1489.6980000000001</v>
      </c>
      <c r="F28" s="12">
        <v>22.867000000000001</v>
      </c>
      <c r="G28" s="12">
        <v>116.069</v>
      </c>
      <c r="H28" s="12">
        <v>186.57600000000002</v>
      </c>
      <c r="I28" s="12">
        <v>299.125</v>
      </c>
      <c r="J28" s="61">
        <v>2569.7049999999999</v>
      </c>
    </row>
    <row r="29" spans="1:10" s="43" customFormat="1" ht="24.75" hidden="1">
      <c r="A29" s="47">
        <v>1995</v>
      </c>
      <c r="B29" s="12">
        <v>194.071</v>
      </c>
      <c r="C29" s="12">
        <v>1488</v>
      </c>
      <c r="D29" s="12">
        <v>277.19</v>
      </c>
      <c r="E29" s="12">
        <v>0</v>
      </c>
      <c r="F29" s="12">
        <v>17.995000000000001</v>
      </c>
      <c r="G29" s="12">
        <v>118.837</v>
      </c>
      <c r="H29" s="12">
        <v>169</v>
      </c>
      <c r="I29" s="12">
        <v>290.69299999999998</v>
      </c>
      <c r="J29" s="61">
        <f t="shared" ref="J29:J34" si="2">SUM(B29:I29)</f>
        <v>2555.7860000000001</v>
      </c>
    </row>
    <row r="30" spans="1:10" s="43" customFormat="1" ht="24.75" hidden="1">
      <c r="A30" s="47">
        <v>1996</v>
      </c>
      <c r="B30" s="12">
        <v>215.90899999999999</v>
      </c>
      <c r="C30" s="12">
        <v>1405</v>
      </c>
      <c r="D30" s="12">
        <v>257.00099999999998</v>
      </c>
      <c r="E30" s="12">
        <v>0</v>
      </c>
      <c r="F30" s="12">
        <v>21.038</v>
      </c>
      <c r="G30" s="12">
        <v>104.78400000000001</v>
      </c>
      <c r="H30" s="12">
        <v>155</v>
      </c>
      <c r="I30" s="12">
        <v>311.79599999999999</v>
      </c>
      <c r="J30" s="61">
        <f t="shared" si="2"/>
        <v>2470.5279999999998</v>
      </c>
    </row>
    <row r="31" spans="1:10" s="43" customFormat="1" ht="24.75" hidden="1">
      <c r="A31" s="47">
        <v>1997</v>
      </c>
      <c r="B31" s="12">
        <v>207.197</v>
      </c>
      <c r="C31" s="12">
        <v>1458</v>
      </c>
      <c r="D31" s="12">
        <v>238.774</v>
      </c>
      <c r="E31" s="12">
        <v>0</v>
      </c>
      <c r="F31" s="12">
        <v>22.381</v>
      </c>
      <c r="G31" s="12">
        <v>93.658000000000001</v>
      </c>
      <c r="H31" s="12">
        <v>157</v>
      </c>
      <c r="I31" s="12">
        <v>302.322</v>
      </c>
      <c r="J31" s="61">
        <f t="shared" si="2"/>
        <v>2479.3320000000003</v>
      </c>
    </row>
    <row r="32" spans="1:10" s="43" customFormat="1" ht="24.75" hidden="1">
      <c r="A32" s="47">
        <v>1998</v>
      </c>
      <c r="B32" s="12">
        <v>216.548</v>
      </c>
      <c r="C32" s="12">
        <v>1394</v>
      </c>
      <c r="D32" s="12">
        <v>237</v>
      </c>
      <c r="E32" s="12">
        <v>0</v>
      </c>
      <c r="F32" s="12">
        <v>22.553000000000001</v>
      </c>
      <c r="G32" s="12">
        <v>92.239000000000004</v>
      </c>
      <c r="H32" s="12">
        <v>163</v>
      </c>
      <c r="I32" s="12">
        <v>250.13399999999999</v>
      </c>
      <c r="J32" s="61">
        <f t="shared" si="2"/>
        <v>2375.4740000000002</v>
      </c>
    </row>
    <row r="33" spans="1:10" s="43" customFormat="1" ht="24.75" hidden="1">
      <c r="A33" s="47">
        <v>1999</v>
      </c>
      <c r="B33" s="12">
        <v>192.20099999999999</v>
      </c>
      <c r="C33" s="12">
        <v>1287.742</v>
      </c>
      <c r="D33" s="12">
        <v>212.672</v>
      </c>
      <c r="E33" s="12">
        <v>0</v>
      </c>
      <c r="F33" s="12">
        <v>22.63</v>
      </c>
      <c r="G33" s="12">
        <v>93.554000000000002</v>
      </c>
      <c r="H33" s="12">
        <v>165.608</v>
      </c>
      <c r="I33" s="12">
        <v>224.886</v>
      </c>
      <c r="J33" s="61">
        <f t="shared" si="2"/>
        <v>2199.2930000000001</v>
      </c>
    </row>
    <row r="34" spans="1:10" s="43" customFormat="1" ht="24.75" hidden="1">
      <c r="A34" s="47">
        <v>2000</v>
      </c>
      <c r="B34" s="12">
        <v>202.012</v>
      </c>
      <c r="C34" s="12">
        <v>1375.961</v>
      </c>
      <c r="D34" s="12">
        <v>217.435</v>
      </c>
      <c r="E34" s="12">
        <v>0</v>
      </c>
      <c r="F34" s="12">
        <v>20.753</v>
      </c>
      <c r="G34" s="12">
        <v>94.331999999999994</v>
      </c>
      <c r="H34" s="12">
        <v>194.39500000000001</v>
      </c>
      <c r="I34" s="12">
        <v>285.74599999999998</v>
      </c>
      <c r="J34" s="61">
        <f t="shared" si="2"/>
        <v>2390.634</v>
      </c>
    </row>
    <row r="35" spans="1:10" s="43" customFormat="1" ht="24.75" hidden="1">
      <c r="A35" s="47">
        <v>2001</v>
      </c>
      <c r="B35" s="12">
        <v>206.643</v>
      </c>
      <c r="C35" s="12">
        <v>1308.8579999999999</v>
      </c>
      <c r="D35" s="12">
        <v>235.488</v>
      </c>
      <c r="E35" s="12">
        <v>0.38300000000000001</v>
      </c>
      <c r="F35" s="12">
        <v>23.870999999999999</v>
      </c>
      <c r="G35" s="12">
        <v>91.994</v>
      </c>
      <c r="H35" s="12">
        <v>194.70500000000001</v>
      </c>
      <c r="I35" s="12">
        <v>331.24700000000001</v>
      </c>
      <c r="J35" s="61">
        <f>SUM(B35:I35)</f>
        <v>2393.1889999999999</v>
      </c>
    </row>
    <row r="36" spans="1:10" s="43" customFormat="1" ht="24.75" hidden="1">
      <c r="A36" s="47">
        <v>2002</v>
      </c>
      <c r="B36" s="12">
        <v>211.845</v>
      </c>
      <c r="C36" s="12">
        <v>1237.424</v>
      </c>
      <c r="D36" s="12">
        <v>224.99799999999999</v>
      </c>
      <c r="E36" s="12">
        <v>0</v>
      </c>
      <c r="F36" s="12">
        <v>23.236000000000001</v>
      </c>
      <c r="G36" s="12">
        <v>85.522000000000006</v>
      </c>
      <c r="H36" s="12">
        <v>242.08</v>
      </c>
      <c r="I36" s="12">
        <v>323.34300000000002</v>
      </c>
      <c r="J36" s="61">
        <f>SUM(B36:I36)</f>
        <v>2348.4479999999999</v>
      </c>
    </row>
    <row r="37" spans="1:10" s="43" customFormat="1" ht="24.75" hidden="1">
      <c r="A37" s="47"/>
      <c r="B37" s="18" t="s">
        <v>27</v>
      </c>
      <c r="C37" s="15"/>
      <c r="D37" s="15"/>
      <c r="E37" s="15"/>
      <c r="F37" s="15"/>
      <c r="G37" s="15"/>
      <c r="H37" s="15"/>
      <c r="I37" s="15"/>
      <c r="J37" s="16"/>
    </row>
    <row r="38" spans="1:10" s="43" customFormat="1" ht="24.75" hidden="1">
      <c r="A38" s="47">
        <v>1994</v>
      </c>
      <c r="B38" s="12">
        <v>0</v>
      </c>
      <c r="C38" s="12">
        <v>0</v>
      </c>
      <c r="D38" s="12">
        <v>12.169</v>
      </c>
      <c r="E38" s="12">
        <v>551</v>
      </c>
      <c r="F38" s="12">
        <v>0</v>
      </c>
      <c r="G38" s="12">
        <v>0</v>
      </c>
      <c r="H38" s="12">
        <v>37.549999999999997</v>
      </c>
      <c r="I38" s="12">
        <v>0</v>
      </c>
      <c r="J38" s="61">
        <v>601.17700000000002</v>
      </c>
    </row>
    <row r="39" spans="1:10" s="43" customFormat="1" ht="24.75" hidden="1">
      <c r="A39" s="47">
        <v>1995</v>
      </c>
      <c r="B39" s="12">
        <v>0</v>
      </c>
      <c r="C39" s="12">
        <v>0</v>
      </c>
      <c r="D39" s="12">
        <v>0.98899999999999999</v>
      </c>
      <c r="E39" s="62" t="s">
        <v>55</v>
      </c>
      <c r="F39" s="12">
        <v>0</v>
      </c>
      <c r="G39" s="12">
        <v>0</v>
      </c>
      <c r="H39" s="12">
        <v>53.884999999999998</v>
      </c>
      <c r="I39" s="12">
        <v>0</v>
      </c>
      <c r="J39" s="61">
        <v>591</v>
      </c>
    </row>
    <row r="40" spans="1:10" s="43" customFormat="1" ht="24.75" hidden="1">
      <c r="A40" s="47">
        <v>1996</v>
      </c>
      <c r="B40" s="12">
        <v>27.056999999999999</v>
      </c>
      <c r="C40" s="12">
        <v>0</v>
      </c>
      <c r="D40" s="12">
        <v>0.747</v>
      </c>
      <c r="E40" s="62" t="s">
        <v>56</v>
      </c>
      <c r="F40" s="12">
        <v>0</v>
      </c>
      <c r="G40" s="12">
        <v>0</v>
      </c>
      <c r="H40" s="12">
        <v>60.091999999999999</v>
      </c>
      <c r="I40" s="12">
        <v>0</v>
      </c>
      <c r="J40" s="61">
        <v>598</v>
      </c>
    </row>
    <row r="41" spans="1:10" s="43" customFormat="1" ht="24.75" hidden="1">
      <c r="A41" s="47">
        <v>1997</v>
      </c>
      <c r="B41" s="12">
        <v>52.131999999999998</v>
      </c>
      <c r="C41" s="12">
        <v>0</v>
      </c>
      <c r="D41" s="12">
        <v>2.331</v>
      </c>
      <c r="E41" s="62" t="s">
        <v>57</v>
      </c>
      <c r="F41" s="12">
        <v>0</v>
      </c>
      <c r="G41" s="12">
        <v>1.921</v>
      </c>
      <c r="H41" s="12">
        <v>57.652000000000001</v>
      </c>
      <c r="I41" s="12">
        <v>0</v>
      </c>
      <c r="J41" s="61">
        <v>641</v>
      </c>
    </row>
    <row r="42" spans="1:10" s="43" customFormat="1" ht="24.75" hidden="1">
      <c r="A42" s="47">
        <v>1998</v>
      </c>
      <c r="B42" s="12">
        <v>96.956000000000003</v>
      </c>
      <c r="C42" s="12">
        <v>283</v>
      </c>
      <c r="D42" s="12">
        <v>4.3710000000000004</v>
      </c>
      <c r="E42" s="62" t="s">
        <v>58</v>
      </c>
      <c r="F42" s="12">
        <v>0</v>
      </c>
      <c r="G42" s="12">
        <v>2.6749999999999998</v>
      </c>
      <c r="H42" s="12">
        <v>58</v>
      </c>
      <c r="I42" s="12">
        <v>0</v>
      </c>
      <c r="J42" s="61">
        <v>684</v>
      </c>
    </row>
    <row r="43" spans="1:10" s="43" customFormat="1" ht="24.75" hidden="1">
      <c r="A43" s="47">
        <v>1999</v>
      </c>
      <c r="B43" s="12">
        <v>214.47</v>
      </c>
      <c r="C43" s="12">
        <v>468.87400000000002</v>
      </c>
      <c r="D43" s="12">
        <v>0.53900000000000003</v>
      </c>
      <c r="E43" s="12">
        <v>42.997</v>
      </c>
      <c r="F43" s="12">
        <v>0</v>
      </c>
      <c r="G43" s="12">
        <v>2.8620000000000001</v>
      </c>
      <c r="H43" s="12">
        <v>54.819000000000003</v>
      </c>
      <c r="I43" s="12">
        <v>0</v>
      </c>
      <c r="J43" s="61">
        <f t="shared" ref="J43:J60" si="3">SUM(B43:I43)</f>
        <v>784.56099999999992</v>
      </c>
    </row>
    <row r="44" spans="1:10" s="43" customFormat="1" ht="24.75" hidden="1">
      <c r="A44" s="47">
        <v>2000</v>
      </c>
      <c r="B44" s="12">
        <v>330.37299999999999</v>
      </c>
      <c r="C44" s="12">
        <v>403.40100000000001</v>
      </c>
      <c r="D44" s="12">
        <v>0</v>
      </c>
      <c r="E44" s="12">
        <v>44.89</v>
      </c>
      <c r="F44" s="12">
        <v>0</v>
      </c>
      <c r="G44" s="12">
        <v>1.899</v>
      </c>
      <c r="H44" s="12">
        <v>56.654000000000003</v>
      </c>
      <c r="I44" s="12">
        <v>2.5</v>
      </c>
      <c r="J44" s="61">
        <f t="shared" si="3"/>
        <v>839.71699999999998</v>
      </c>
    </row>
    <row r="45" spans="1:10" s="43" customFormat="1" ht="24.75" hidden="1">
      <c r="A45" s="47">
        <v>2001</v>
      </c>
      <c r="B45" s="12">
        <v>340.84699999999998</v>
      </c>
      <c r="C45" s="12">
        <v>356.767</v>
      </c>
      <c r="D45" s="12">
        <v>0</v>
      </c>
      <c r="E45" s="12">
        <v>36.893000000000001</v>
      </c>
      <c r="F45" s="12">
        <v>0</v>
      </c>
      <c r="G45" s="12">
        <v>0</v>
      </c>
      <c r="H45" s="12">
        <v>78.322000000000003</v>
      </c>
      <c r="I45" s="12">
        <v>13.239000000000001</v>
      </c>
      <c r="J45" s="61">
        <f t="shared" si="3"/>
        <v>826.0680000000001</v>
      </c>
    </row>
    <row r="46" spans="1:10" ht="24.75" hidden="1">
      <c r="A46" s="47">
        <v>2002</v>
      </c>
      <c r="B46" s="12">
        <v>370.517</v>
      </c>
      <c r="C46" s="12">
        <v>304.93299999999999</v>
      </c>
      <c r="D46" s="12">
        <v>0</v>
      </c>
      <c r="E46" s="12">
        <v>42.219000000000001</v>
      </c>
      <c r="F46" s="12">
        <v>0</v>
      </c>
      <c r="G46" s="12">
        <v>0</v>
      </c>
      <c r="H46" s="12">
        <v>86.177999999999997</v>
      </c>
      <c r="I46" s="12">
        <v>41.136000000000003</v>
      </c>
      <c r="J46" s="61">
        <f t="shared" si="3"/>
        <v>844.98300000000006</v>
      </c>
    </row>
    <row r="47" spans="1:10" ht="24.75">
      <c r="A47" s="47">
        <v>2003</v>
      </c>
      <c r="B47" s="12">
        <v>562.34900000000005</v>
      </c>
      <c r="C47" s="12">
        <v>1697.944</v>
      </c>
      <c r="D47" s="12">
        <v>214.143</v>
      </c>
      <c r="E47" s="12">
        <v>56.249000000000002</v>
      </c>
      <c r="F47" s="12">
        <v>47.749000000000002</v>
      </c>
      <c r="G47" s="12">
        <v>78.38</v>
      </c>
      <c r="H47" s="12">
        <v>223.15899999999999</v>
      </c>
      <c r="I47" s="12">
        <v>332.59199999999998</v>
      </c>
      <c r="J47" s="61">
        <f t="shared" si="3"/>
        <v>3212.5650000000001</v>
      </c>
    </row>
    <row r="48" spans="1:10" ht="24.75">
      <c r="A48" s="47">
        <v>2004</v>
      </c>
      <c r="B48" s="12">
        <v>565</v>
      </c>
      <c r="C48" s="12">
        <v>2009</v>
      </c>
      <c r="D48" s="12">
        <v>244</v>
      </c>
      <c r="E48" s="12">
        <v>97</v>
      </c>
      <c r="F48" s="12">
        <v>44</v>
      </c>
      <c r="G48" s="12">
        <v>81</v>
      </c>
      <c r="H48" s="12">
        <v>238</v>
      </c>
      <c r="I48" s="12">
        <v>349</v>
      </c>
      <c r="J48" s="61">
        <f t="shared" si="3"/>
        <v>3627</v>
      </c>
    </row>
    <row r="49" spans="1:10" ht="24.75">
      <c r="A49" s="47">
        <v>2005</v>
      </c>
      <c r="B49" s="12">
        <v>595.74599999999998</v>
      </c>
      <c r="C49" s="12">
        <v>1699.318</v>
      </c>
      <c r="D49" s="12">
        <v>241.73</v>
      </c>
      <c r="E49" s="12">
        <v>231.59899999999999</v>
      </c>
      <c r="F49" s="12">
        <v>37.290999999999997</v>
      </c>
      <c r="G49" s="12">
        <v>73.908000000000001</v>
      </c>
      <c r="H49" s="12">
        <v>308.38</v>
      </c>
      <c r="I49" s="12">
        <v>395.52</v>
      </c>
      <c r="J49" s="61">
        <f t="shared" si="3"/>
        <v>3583.4920000000002</v>
      </c>
    </row>
    <row r="50" spans="1:10" ht="24.75">
      <c r="A50" s="47">
        <v>2006</v>
      </c>
      <c r="B50" s="12">
        <v>537.82500000000005</v>
      </c>
      <c r="C50" s="12">
        <v>1662.058</v>
      </c>
      <c r="D50" s="12">
        <v>242.88499999999999</v>
      </c>
      <c r="E50" s="12">
        <v>272.65699999999998</v>
      </c>
      <c r="F50" s="12">
        <v>31.646999999999998</v>
      </c>
      <c r="G50" s="12">
        <v>68.941999999999993</v>
      </c>
      <c r="H50" s="12">
        <v>433.21499999999997</v>
      </c>
      <c r="I50" s="12">
        <v>493.75900000000001</v>
      </c>
      <c r="J50" s="61">
        <f t="shared" si="3"/>
        <v>3742.9880000000003</v>
      </c>
    </row>
    <row r="51" spans="1:10" ht="24.75">
      <c r="A51" s="47">
        <v>2007</v>
      </c>
      <c r="B51" s="12">
        <v>552.23400000000004</v>
      </c>
      <c r="C51" s="12">
        <v>1671.124</v>
      </c>
      <c r="D51" s="12">
        <v>254.64699999999999</v>
      </c>
      <c r="E51" s="12">
        <v>223.55</v>
      </c>
      <c r="F51" s="12">
        <v>32.048999999999999</v>
      </c>
      <c r="G51" s="12">
        <v>51.628</v>
      </c>
      <c r="H51" s="12">
        <v>517.10900000000004</v>
      </c>
      <c r="I51" s="12">
        <v>575.94399999999996</v>
      </c>
      <c r="J51" s="61">
        <f t="shared" si="3"/>
        <v>3878.2850000000003</v>
      </c>
    </row>
    <row r="52" spans="1:10" ht="24.75">
      <c r="A52" s="47">
        <v>2008</v>
      </c>
      <c r="B52" s="12">
        <v>566.31200000000001</v>
      </c>
      <c r="C52" s="12">
        <v>1610.5039999999999</v>
      </c>
      <c r="D52" s="12">
        <v>258.20499999999998</v>
      </c>
      <c r="E52" s="12">
        <v>263.47399999999999</v>
      </c>
      <c r="F52" s="12">
        <v>41.128</v>
      </c>
      <c r="G52" s="12">
        <v>56.250999999999998</v>
      </c>
      <c r="H52" s="12">
        <v>606.18299999999999</v>
      </c>
      <c r="I52" s="12">
        <v>714.67600000000004</v>
      </c>
      <c r="J52" s="61">
        <f t="shared" si="3"/>
        <v>4116.7330000000002</v>
      </c>
    </row>
    <row r="53" spans="1:10" ht="24.75">
      <c r="A53" s="47">
        <v>2009</v>
      </c>
      <c r="B53" s="12">
        <v>392.22399999999999</v>
      </c>
      <c r="C53" s="12">
        <v>1287.5160000000001</v>
      </c>
      <c r="D53" s="12">
        <v>252.137</v>
      </c>
      <c r="E53" s="12">
        <v>236.999</v>
      </c>
      <c r="F53" s="12">
        <v>43.69</v>
      </c>
      <c r="G53" s="12">
        <v>80.688999999999993</v>
      </c>
      <c r="H53" s="12">
        <v>747.82500000000005</v>
      </c>
      <c r="I53" s="12">
        <v>579.48400000000004</v>
      </c>
      <c r="J53" s="61">
        <f t="shared" si="3"/>
        <v>3620.5639999999999</v>
      </c>
    </row>
    <row r="54" spans="1:10" ht="24.75">
      <c r="A54" s="47">
        <v>2010</v>
      </c>
      <c r="B54" s="12">
        <v>387</v>
      </c>
      <c r="C54" s="12">
        <v>1424</v>
      </c>
      <c r="D54" s="12">
        <v>263</v>
      </c>
      <c r="E54" s="12">
        <v>303</v>
      </c>
      <c r="F54" s="12">
        <v>78</v>
      </c>
      <c r="G54" s="12">
        <v>113</v>
      </c>
      <c r="H54" s="12">
        <v>773</v>
      </c>
      <c r="I54" s="12">
        <v>699</v>
      </c>
      <c r="J54" s="61">
        <f t="shared" si="3"/>
        <v>4040</v>
      </c>
    </row>
    <row r="55" spans="1:10" ht="24.75">
      <c r="A55" s="47">
        <v>2011</v>
      </c>
      <c r="B55" s="12">
        <v>475</v>
      </c>
      <c r="C55" s="12">
        <v>1610</v>
      </c>
      <c r="D55" s="12">
        <v>247</v>
      </c>
      <c r="E55" s="12">
        <v>337</v>
      </c>
      <c r="F55" s="12">
        <v>101</v>
      </c>
      <c r="G55" s="12">
        <v>138</v>
      </c>
      <c r="H55" s="12">
        <v>865</v>
      </c>
      <c r="I55" s="12">
        <v>816</v>
      </c>
      <c r="J55" s="61">
        <f t="shared" si="3"/>
        <v>4589</v>
      </c>
    </row>
    <row r="56" spans="1:10" ht="24.75">
      <c r="A56" s="47">
        <v>2012</v>
      </c>
      <c r="B56" s="12">
        <v>519</v>
      </c>
      <c r="C56" s="12">
        <v>1520</v>
      </c>
      <c r="D56" s="12">
        <v>232</v>
      </c>
      <c r="E56" s="12">
        <v>348</v>
      </c>
      <c r="F56" s="12">
        <v>110</v>
      </c>
      <c r="G56" s="12">
        <v>147</v>
      </c>
      <c r="H56" s="12">
        <v>967</v>
      </c>
      <c r="I56" s="12">
        <v>837</v>
      </c>
      <c r="J56" s="61">
        <f t="shared" si="3"/>
        <v>4680</v>
      </c>
    </row>
    <row r="57" spans="1:10" ht="24.75">
      <c r="A57" s="47">
        <v>2013</v>
      </c>
      <c r="B57" s="12">
        <v>552.19799999999998</v>
      </c>
      <c r="C57" s="12">
        <v>1470.56</v>
      </c>
      <c r="D57" s="12">
        <v>251.893</v>
      </c>
      <c r="E57" s="12">
        <v>289.35700000000003</v>
      </c>
      <c r="F57" s="12">
        <v>126.595</v>
      </c>
      <c r="G57" s="12">
        <v>141.30799999999999</v>
      </c>
      <c r="H57" s="12">
        <v>1132.415</v>
      </c>
      <c r="I57" s="12">
        <v>889.48099999999999</v>
      </c>
      <c r="J57" s="61">
        <f t="shared" si="3"/>
        <v>4853.8069999999998</v>
      </c>
    </row>
    <row r="58" spans="1:10" ht="24.75">
      <c r="A58" s="47">
        <v>2014</v>
      </c>
      <c r="B58" s="12">
        <v>423</v>
      </c>
      <c r="C58" s="12">
        <v>1459</v>
      </c>
      <c r="D58" s="12">
        <v>251</v>
      </c>
      <c r="E58" s="12">
        <v>303</v>
      </c>
      <c r="F58" s="12">
        <v>135</v>
      </c>
      <c r="G58" s="12">
        <v>143</v>
      </c>
      <c r="H58" s="12">
        <v>1069</v>
      </c>
      <c r="I58" s="12">
        <v>1032.9069999999999</v>
      </c>
      <c r="J58" s="61">
        <f t="shared" si="3"/>
        <v>4815.9070000000002</v>
      </c>
    </row>
    <row r="59" spans="1:10" ht="24.75">
      <c r="A59" s="47">
        <v>2015</v>
      </c>
      <c r="B59" s="12">
        <v>492.428</v>
      </c>
      <c r="C59" s="12">
        <v>1442.963</v>
      </c>
      <c r="D59" s="12">
        <v>244.44300000000001</v>
      </c>
      <c r="E59" s="12">
        <v>294.35500000000002</v>
      </c>
      <c r="F59" s="12">
        <v>145.44900000000001</v>
      </c>
      <c r="G59" s="12">
        <v>138.935</v>
      </c>
      <c r="H59" s="12">
        <v>1092.95</v>
      </c>
      <c r="I59" s="12">
        <v>982.17700000000002</v>
      </c>
      <c r="J59" s="61">
        <f t="shared" si="3"/>
        <v>4833.7</v>
      </c>
    </row>
    <row r="60" spans="1:10" ht="24.75">
      <c r="A60" s="47">
        <v>2016</v>
      </c>
      <c r="B60" s="12">
        <f>107.442+308.992</f>
        <v>416.43400000000003</v>
      </c>
      <c r="C60" s="12">
        <f>1397.955</f>
        <v>1397.9549999999999</v>
      </c>
      <c r="D60" s="12">
        <f>135.672+98.724</f>
        <v>234.39600000000002</v>
      </c>
      <c r="E60" s="12">
        <f>290.294</f>
        <v>290.29399999999998</v>
      </c>
      <c r="F60" s="12">
        <f>125.579+34.436</f>
        <v>160.01499999999999</v>
      </c>
      <c r="G60" s="12">
        <f>133.352</f>
        <v>133.352</v>
      </c>
      <c r="H60" s="12">
        <v>1162.924</v>
      </c>
      <c r="I60" s="12">
        <v>895.41499999999996</v>
      </c>
      <c r="J60" s="61">
        <f t="shared" si="3"/>
        <v>4690.7849999999999</v>
      </c>
    </row>
    <row r="61" spans="1:10" ht="24.75">
      <c r="A61" s="47">
        <v>2017</v>
      </c>
      <c r="B61" s="12">
        <f>80.72+278.282</f>
        <v>359.00199999999995</v>
      </c>
      <c r="C61" s="12">
        <f>1447.852</f>
        <v>1447.8520000000001</v>
      </c>
      <c r="D61" s="12">
        <f>132.165+97.89</f>
        <v>230.05500000000001</v>
      </c>
      <c r="E61" s="12">
        <f>319.791</f>
        <v>319.791</v>
      </c>
      <c r="F61" s="12">
        <f>144.978+41.34</f>
        <v>186.31800000000001</v>
      </c>
      <c r="G61" s="12">
        <f>153.299</f>
        <v>153.29900000000001</v>
      </c>
      <c r="H61" s="12">
        <f>184.436+8.707+186.424+14.068+601.991+9.691</f>
        <v>1005.317</v>
      </c>
      <c r="I61" s="12">
        <v>940.94399999999996</v>
      </c>
      <c r="J61" s="61">
        <f t="shared" ref="J61:J66" si="4">SUM(B61:I61)</f>
        <v>4642.5780000000004</v>
      </c>
    </row>
    <row r="62" spans="1:10" ht="24.75">
      <c r="A62" s="47">
        <v>2018</v>
      </c>
      <c r="B62" s="12">
        <f>76.341+375.924</f>
        <v>452.26499999999999</v>
      </c>
      <c r="C62" s="12">
        <f>1410.405</f>
        <v>1410.405</v>
      </c>
      <c r="D62" s="12">
        <f>128.697+77.959</f>
        <v>206.65600000000001</v>
      </c>
      <c r="E62" s="12">
        <f>313.666</f>
        <v>313.666</v>
      </c>
      <c r="F62" s="12">
        <f>145.392+41.139</f>
        <v>186.53100000000001</v>
      </c>
      <c r="G62" s="12">
        <f>149.803</f>
        <v>149.803</v>
      </c>
      <c r="H62" s="12">
        <f>2.448+8.093+0.013+206.243+12.798+189.081+567.029+162.227+41.66+7.983</f>
        <v>1197.575</v>
      </c>
      <c r="I62" s="12">
        <v>982.94600000000003</v>
      </c>
      <c r="J62" s="61">
        <f t="shared" si="4"/>
        <v>4899.8469999999998</v>
      </c>
    </row>
    <row r="63" spans="1:10" ht="24.75">
      <c r="A63" s="47">
        <v>2019</v>
      </c>
      <c r="B63" s="12">
        <f>53.387+296.805</f>
        <v>350.19200000000001</v>
      </c>
      <c r="C63" s="12">
        <f>1275.918</f>
        <v>1275.9179999999999</v>
      </c>
      <c r="D63" s="12">
        <f>127.052+28.811</f>
        <v>155.863</v>
      </c>
      <c r="E63" s="12">
        <f>285.858</f>
        <v>285.858</v>
      </c>
      <c r="F63" s="12">
        <f>140.273+42.648</f>
        <v>182.92099999999999</v>
      </c>
      <c r="G63" s="12">
        <f>130.65</f>
        <v>130.65</v>
      </c>
      <c r="H63" s="12">
        <f>0.012+133.782+42.523+7.408+153.01+12.988+186.524+561.722+0.026</f>
        <v>1097.9950000000001</v>
      </c>
      <c r="I63" s="12">
        <v>849.74</v>
      </c>
      <c r="J63" s="61">
        <f t="shared" si="4"/>
        <v>4329.1369999999997</v>
      </c>
    </row>
    <row r="64" spans="1:10" ht="24.75">
      <c r="A64" s="47">
        <v>2020</v>
      </c>
      <c r="B64" s="12">
        <f>62.014+157.113</f>
        <v>219.12700000000001</v>
      </c>
      <c r="C64" s="12">
        <f>1238.792</f>
        <v>1238.7919999999999</v>
      </c>
      <c r="D64" s="12">
        <f>92.92</f>
        <v>92.92</v>
      </c>
      <c r="E64" s="12">
        <f>276.213</f>
        <v>276.21300000000002</v>
      </c>
      <c r="F64" s="12">
        <f>135.372+30.798</f>
        <v>166.17000000000002</v>
      </c>
      <c r="G64" s="12">
        <f>119.143</f>
        <v>119.143</v>
      </c>
      <c r="H64" s="12">
        <f>0.034+99.246+39.569+0.541+6.371+0.016+102.923+11.452+175.962+532.287</f>
        <v>968.40100000000007</v>
      </c>
      <c r="I64" s="12">
        <v>692.27800000000002</v>
      </c>
      <c r="J64" s="61">
        <f t="shared" si="4"/>
        <v>3773.0439999999999</v>
      </c>
    </row>
    <row r="65" spans="1:10" ht="24.75">
      <c r="A65" s="47">
        <v>2021</v>
      </c>
      <c r="B65" s="12">
        <f>74.466+157.797</f>
        <v>232.26299999999998</v>
      </c>
      <c r="C65" s="12">
        <v>1298.5609999999999</v>
      </c>
      <c r="D65" s="12">
        <v>100.43899999999999</v>
      </c>
      <c r="E65" s="12">
        <v>322.47000000000003</v>
      </c>
      <c r="F65" s="12">
        <f>137.742+33.557</f>
        <v>171.29899999999998</v>
      </c>
      <c r="G65" s="12">
        <v>117.586</v>
      </c>
      <c r="H65" s="12">
        <f>112.049+43.656+0.366+5.635+76.88+11.449+193.186+532.585</f>
        <v>975.80600000000004</v>
      </c>
      <c r="I65" s="12">
        <v>761.06600000000003</v>
      </c>
      <c r="J65" s="61">
        <f t="shared" si="4"/>
        <v>3979.49</v>
      </c>
    </row>
    <row r="66" spans="1:10" ht="24.75">
      <c r="A66" s="47">
        <v>2022</v>
      </c>
      <c r="B66" s="12">
        <v>238.78</v>
      </c>
      <c r="C66" s="12">
        <v>1225.1079999999999</v>
      </c>
      <c r="D66" s="12">
        <v>146.089</v>
      </c>
      <c r="E66" s="12">
        <v>391.10700000000003</v>
      </c>
      <c r="F66" s="12">
        <v>159.99</v>
      </c>
      <c r="G66" s="12">
        <v>123.664</v>
      </c>
      <c r="H66" s="12">
        <f>0.066+132.201+33.813+0.491+7.269+0.008+100.286+8.613+170.366+508.655</f>
        <v>961.76800000000003</v>
      </c>
      <c r="I66" s="12">
        <v>798.39099999999996</v>
      </c>
      <c r="J66" s="61">
        <f t="shared" si="4"/>
        <v>4044.8969999999999</v>
      </c>
    </row>
    <row r="67" spans="1:10" ht="24.75">
      <c r="A67" s="47">
        <v>2023</v>
      </c>
      <c r="B67" s="12">
        <v>178.50899999999999</v>
      </c>
      <c r="C67" s="12">
        <v>1055.81</v>
      </c>
      <c r="D67" s="12">
        <v>56.595999999999997</v>
      </c>
      <c r="E67" s="12">
        <v>313.41699999999997</v>
      </c>
      <c r="F67" s="12">
        <v>107.23699999999999</v>
      </c>
      <c r="G67" s="12">
        <v>93.225999999999999</v>
      </c>
      <c r="H67" s="12">
        <f>0.025+117.922+35.108+0.692+8.283+0.008+142.321+3.941+132.178+514.046</f>
        <v>954.52400000000011</v>
      </c>
      <c r="I67" s="12">
        <v>727.93200000000002</v>
      </c>
      <c r="J67" s="61">
        <f>SUM(B67:I67)</f>
        <v>3487.2510000000002</v>
      </c>
    </row>
    <row r="68" spans="1:10" ht="24.75">
      <c r="A68" s="47">
        <v>2024</v>
      </c>
      <c r="B68" s="12">
        <f>19.142+142.84</f>
        <v>161.982</v>
      </c>
      <c r="C68" s="12">
        <f>1080.559+0.025</f>
        <v>1080.5840000000001</v>
      </c>
      <c r="D68" s="12">
        <v>61.387999999999998</v>
      </c>
      <c r="E68" s="12">
        <v>173.6</v>
      </c>
      <c r="F68" s="12">
        <f>79.927+10.97</f>
        <v>90.897000000000006</v>
      </c>
      <c r="G68" s="12">
        <v>88.650999999999996</v>
      </c>
      <c r="H68" s="12">
        <f>0.044+109.512+32.772+0.123+5.975+141.301+5.258+128.28+506.887</f>
        <v>930.15200000000004</v>
      </c>
      <c r="I68" s="12">
        <v>664.78399999999999</v>
      </c>
      <c r="J68" s="61">
        <f>SUM(B68:I68)</f>
        <v>3252.038</v>
      </c>
    </row>
    <row r="69" spans="1:10" ht="24.75">
      <c r="A69" s="49"/>
      <c r="B69" s="10"/>
      <c r="C69" s="10"/>
      <c r="D69" s="10"/>
      <c r="E69" s="10"/>
      <c r="F69" s="10"/>
      <c r="G69" s="10"/>
      <c r="H69" s="10"/>
      <c r="I69" s="10"/>
      <c r="J69" s="11"/>
    </row>
    <row r="70" spans="1:10" ht="23.25">
      <c r="A70" s="52" t="s">
        <v>28</v>
      </c>
      <c r="B70" s="9"/>
      <c r="C70" s="9"/>
      <c r="D70" s="9"/>
      <c r="E70" s="9"/>
      <c r="J70" s="64"/>
    </row>
    <row r="71" spans="1:10" ht="24.75">
      <c r="A71" s="52" t="s">
        <v>29</v>
      </c>
      <c r="B71" s="10"/>
      <c r="C71" s="10"/>
      <c r="D71" s="10"/>
      <c r="E71" s="10"/>
      <c r="F71" s="10"/>
      <c r="G71" s="10"/>
      <c r="H71" s="10"/>
      <c r="I71" s="10"/>
      <c r="J71" s="11"/>
    </row>
    <row r="72" spans="1:10" ht="24" thickBot="1">
      <c r="A72" s="65" t="s">
        <v>59</v>
      </c>
      <c r="B72" s="44"/>
      <c r="C72" s="44"/>
      <c r="D72" s="44"/>
      <c r="E72" s="44"/>
      <c r="F72" s="44"/>
      <c r="G72" s="44"/>
      <c r="H72" s="44"/>
      <c r="I72" s="44"/>
      <c r="J72" s="45"/>
    </row>
  </sheetData>
  <mergeCells count="2">
    <mergeCell ref="G1:J1"/>
    <mergeCell ref="B7:J7"/>
  </mergeCells>
  <pageMargins left="0.78740157480314965" right="0.19685039370078741" top="0.78740157480314965" bottom="0.39370078740157483" header="0.51181102362204722" footer="0.51181102362204722"/>
  <pageSetup paperSize="9" scale="37" orientation="portrait" horizontalDpi="4294967292" verticalDpi="4294967292" r:id="rId1"/>
  <headerFooter alignWithMargins="0">
    <oddFooter>&amp;L&amp;"Arial,Standard"&amp;16Übersichten/Zeitreihen/Internet/&amp;F&amp;R&amp;"Arial,Standard"&amp;16Statistik der Kohlenwirtschaft e.V., Bergheim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Schilbert</dc:creator>
  <cp:keywords/>
  <dc:description/>
  <cp:lastModifiedBy>Yvonne Dyllong</cp:lastModifiedBy>
  <cp:revision/>
  <dcterms:created xsi:type="dcterms:W3CDTF">2006-04-03T07:17:14Z</dcterms:created>
  <dcterms:modified xsi:type="dcterms:W3CDTF">2025-03-17T11:44:51Z</dcterms:modified>
  <cp:category/>
  <cp:contentStatus/>
</cp:coreProperties>
</file>