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8" windowHeight="10452" firstSheet="2" activeTab="2"/>
  </bookViews>
  <sheets>
    <sheet name="Einfuhr" sheetId="1" r:id="rId1"/>
    <sheet name="Arbeitsblatt" sheetId="2" r:id="rId2"/>
    <sheet name="Tabelle" sheetId="3" r:id="rId3"/>
  </sheets>
  <definedNames>
    <definedName name="_xlnm.Print_Area" localSheetId="1">'Arbeitsblatt'!$A$1:$O$24</definedName>
    <definedName name="_xlnm.Print_Area" localSheetId="0">'Einfuhr'!$A$1:$Q$24</definedName>
    <definedName name="_xlnm.Print_Area" localSheetId="2">'Tabelle'!$A$1:$AE$27</definedName>
    <definedName name="FORMELN" localSheetId="1">'Arbeitsblatt'!#REF!</definedName>
    <definedName name="FORMELN" localSheetId="2">'Tabelle'!#REF!</definedName>
    <definedName name="FORMELN">'Einfuhr'!#REF!</definedName>
    <definedName name="MONATE" localSheetId="1">'Arbeitsblatt'!#REF!</definedName>
    <definedName name="MONATE" localSheetId="2">'Tabelle'!#REF!</definedName>
    <definedName name="MONATE">'Einfuhr'!#REF!</definedName>
    <definedName name="VERÄNDERUNG" localSheetId="1">'Arbeitsblatt'!#REF!</definedName>
    <definedName name="VERÄNDERUNG" localSheetId="2">'Tabelle'!#REF!</definedName>
    <definedName name="VERÄNDERUNG">'Einfuhr'!#REF!</definedName>
  </definedNames>
  <calcPr fullCalcOnLoad="1"/>
</workbook>
</file>

<file path=xl/sharedStrings.xml><?xml version="1.0" encoding="utf-8"?>
<sst xmlns="http://schemas.openxmlformats.org/spreadsheetml/2006/main" count="119" uniqueCount="39">
  <si>
    <t>Zahlenübersicht 80</t>
  </si>
  <si>
    <t xml:space="preserve"> Land</t>
  </si>
  <si>
    <t xml:space="preserve"> Belgien/Luxemburg</t>
  </si>
  <si>
    <t xml:space="preserve"> Frankreich</t>
  </si>
  <si>
    <t xml:space="preserve"> Niederlande</t>
  </si>
  <si>
    <t xml:space="preserve"> Großbritannien</t>
  </si>
  <si>
    <t xml:space="preserve">       -</t>
  </si>
  <si>
    <t xml:space="preserve"> Sonstige Länder</t>
  </si>
  <si>
    <t xml:space="preserve"> EU-Länder</t>
  </si>
  <si>
    <t xml:space="preserve"> Norwegen</t>
  </si>
  <si>
    <t xml:space="preserve"> Polen</t>
  </si>
  <si>
    <t xml:space="preserve"> ehem. CSFR</t>
  </si>
  <si>
    <t xml:space="preserve"> ehem. UdSSR</t>
  </si>
  <si>
    <t xml:space="preserve"> Übriges Europa</t>
  </si>
  <si>
    <t xml:space="preserve"> USA/Kanada</t>
  </si>
  <si>
    <t xml:space="preserve"> Südafrika</t>
  </si>
  <si>
    <t xml:space="preserve"> Australien</t>
  </si>
  <si>
    <t xml:space="preserve"> Kolumbien</t>
  </si>
  <si>
    <t xml:space="preserve"> Gesamteinfuhr</t>
  </si>
  <si>
    <t xml:space="preserve"> Ab 1991 alte und neue Bundesländer</t>
  </si>
  <si>
    <t xml:space="preserve"> -</t>
  </si>
  <si>
    <t>Einfuhr von Steinkohlen und Steinkohlenbriketts  ¹</t>
  </si>
  <si>
    <t>1 000 t</t>
  </si>
  <si>
    <r>
      <t xml:space="preserve">2003 </t>
    </r>
    <r>
      <rPr>
        <vertAlign val="superscript"/>
        <sz val="10"/>
        <rFont val="Arial"/>
        <family val="2"/>
      </rPr>
      <t>2</t>
    </r>
  </si>
  <si>
    <t xml:space="preserve"> ¹ Zahlen des Spezialhandels der amtlichen Außenhandelsstatistik  -  ² Vorläufig  </t>
  </si>
  <si>
    <t>.</t>
  </si>
  <si>
    <r>
      <t xml:space="preserve"> EU-Länder </t>
    </r>
    <r>
      <rPr>
        <vertAlign val="superscript"/>
        <sz val="10"/>
        <rFont val="Arial"/>
        <family val="2"/>
      </rPr>
      <t>1)</t>
    </r>
  </si>
  <si>
    <t xml:space="preserve"> Russland</t>
  </si>
  <si>
    <t xml:space="preserve"> Tschechische Republik</t>
  </si>
  <si>
    <t>-</t>
  </si>
  <si>
    <t xml:space="preserve"> Sonstige außereuropäische Länder</t>
  </si>
  <si>
    <t>Statistik der Kohlenwirtschaft e.V.</t>
  </si>
  <si>
    <t>Quellen: Statistisches Bundesamt - Außenhandelsstatistik, 2003 bis 2010 gemäß Energiestatistikgesetz</t>
  </si>
  <si>
    <r>
      <t xml:space="preserve">Einfuhr von Steinkohlen und Steinkohlenbriketts </t>
    </r>
    <r>
      <rPr>
        <sz val="12"/>
        <rFont val="Arial"/>
        <family val="2"/>
      </rPr>
      <t xml:space="preserve">(ohne Steinkohlenkoks) </t>
    </r>
  </si>
  <si>
    <r>
      <t>1)</t>
    </r>
    <r>
      <rPr>
        <sz val="10"/>
        <rFont val="Arial"/>
        <family val="2"/>
      </rPr>
      <t xml:space="preserve"> Bis 2003 EU-15, ab 2004 EU-25, ab 2007 EU-27, ab 1. Juli 2013 EU-28,</t>
    </r>
    <r>
      <rPr>
        <sz val="10"/>
        <color indexed="10"/>
        <rFont val="Arial"/>
        <family val="2"/>
      </rPr>
      <t xml:space="preserve"> ab 2020 EU-27 (ohne Großbritannien)</t>
    </r>
  </si>
  <si>
    <r>
      <t xml:space="preserve"> Großbritannien </t>
    </r>
    <r>
      <rPr>
        <vertAlign val="superscript"/>
        <sz val="10"/>
        <rFont val="Arial"/>
        <family val="2"/>
      </rPr>
      <t>2)</t>
    </r>
  </si>
  <si>
    <r>
      <t xml:space="preserve"> Sonstige europäische Länder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</si>
  <si>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Großbritannien ab 2020 den sonstigen europäischen Ländern zugeordnet</t>
    </r>
  </si>
  <si>
    <r>
      <t xml:space="preserve">2) </t>
    </r>
    <r>
      <rPr>
        <sz val="10"/>
        <color indexed="10"/>
        <rFont val="Arial"/>
        <family val="2"/>
      </rPr>
      <t>Großbritannien ab 2020 den sonstigen europäischen Ländern zugeordnet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</si>
</sst>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_)"/>
    <numFmt numFmtId="175" formatCode="#,##0_);\(#,##0\)"/>
    <numFmt numFmtId="176" formatCode="0.0000_)"/>
    <numFmt numFmtId="177" formatCode="0.00_)"/>
    <numFmt numFmtId="178" formatCode="#,##0\ &quot;DM&quot;_);\(#,##0\ &quot;DM&quot;\)"/>
    <numFmt numFmtId="179" formatCode="\(#,##0\)"/>
  </numFmts>
  <fonts count="47">
    <font>
      <sz val="12"/>
      <name val="Arial"/>
      <family val="0"/>
    </font>
    <font>
      <sz val="10"/>
      <name val="Futura Medium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vertAlign val="superscript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8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0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applyProtection="1">
      <alignment/>
      <protection/>
    </xf>
    <xf numFmtId="175" fontId="3" fillId="33" borderId="15" xfId="0" applyNumberFormat="1" applyFont="1" applyFill="1" applyBorder="1" applyAlignment="1" applyProtection="1">
      <alignment/>
      <protection/>
    </xf>
    <xf numFmtId="175" fontId="3" fillId="33" borderId="15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175" fontId="3" fillId="33" borderId="13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178" fontId="0" fillId="33" borderId="0" xfId="0" applyNumberFormat="1" applyFill="1" applyAlignment="1" applyProtection="1">
      <alignment/>
      <protection/>
    </xf>
    <xf numFmtId="174" fontId="0" fillId="33" borderId="0" xfId="0" applyNumberFormat="1" applyFill="1" applyAlignment="1" applyProtection="1">
      <alignment/>
      <protection/>
    </xf>
    <xf numFmtId="177" fontId="0" fillId="33" borderId="0" xfId="0" applyNumberFormat="1" applyFill="1" applyAlignment="1" applyProtection="1">
      <alignment/>
      <protection/>
    </xf>
    <xf numFmtId="175" fontId="3" fillId="0" borderId="13" xfId="0" applyNumberFormat="1" applyFont="1" applyFill="1" applyBorder="1" applyAlignment="1" applyProtection="1">
      <alignment/>
      <protection/>
    </xf>
    <xf numFmtId="175" fontId="3" fillId="0" borderId="15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Continuous"/>
      <protection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175" fontId="3" fillId="0" borderId="15" xfId="0" applyNumberFormat="1" applyFont="1" applyFill="1" applyBorder="1" applyAlignment="1" applyProtection="1">
      <alignment/>
      <protection/>
    </xf>
    <xf numFmtId="175" fontId="3" fillId="0" borderId="15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174" fontId="0" fillId="0" borderId="0" xfId="0" applyNumberForma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175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5" fontId="3" fillId="0" borderId="13" xfId="0" applyNumberFormat="1" applyFont="1" applyFill="1" applyBorder="1" applyAlignment="1" applyProtection="1">
      <alignment horizontal="center"/>
      <protection/>
    </xf>
    <xf numFmtId="175" fontId="3" fillId="0" borderId="13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3" fillId="34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35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3" fontId="3" fillId="35" borderId="11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Continuous"/>
      <protection/>
    </xf>
    <xf numFmtId="0" fontId="9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35" borderId="21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" fontId="3" fillId="35" borderId="11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179" fontId="3" fillId="35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175" fontId="6" fillId="33" borderId="22" xfId="0" applyNumberFormat="1" applyFont="1" applyFill="1" applyBorder="1" applyAlignment="1" applyProtection="1">
      <alignment horizontal="center"/>
      <protection locked="0"/>
    </xf>
    <xf numFmtId="175" fontId="6" fillId="33" borderId="23" xfId="0" applyNumberFormat="1" applyFont="1" applyFill="1" applyBorder="1" applyAlignment="1" applyProtection="1">
      <alignment horizontal="center"/>
      <protection locked="0"/>
    </xf>
    <xf numFmtId="175" fontId="6" fillId="33" borderId="24" xfId="0" applyNumberFormat="1" applyFont="1" applyFill="1" applyBorder="1" applyAlignment="1" applyProtection="1">
      <alignment horizontal="center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175" fontId="6" fillId="0" borderId="23" xfId="0" applyNumberFormat="1" applyFont="1" applyFill="1" applyBorder="1" applyAlignment="1" applyProtection="1">
      <alignment horizontal="center"/>
      <protection locked="0"/>
    </xf>
    <xf numFmtId="175" fontId="6" fillId="0" borderId="24" xfId="0" applyNumberFormat="1" applyFont="1" applyFill="1" applyBorder="1" applyAlignment="1" applyProtection="1">
      <alignment horizontal="center"/>
      <protection locked="0"/>
    </xf>
    <xf numFmtId="0" fontId="46" fillId="0" borderId="16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definiert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3"/>
  <sheetViews>
    <sheetView showGridLines="0" defaultGridColor="0" zoomScale="80" zoomScaleNormal="80" zoomScalePageLayoutView="0" colorId="22" workbookViewId="0" topLeftCell="A1">
      <selection activeCell="M3" sqref="M3"/>
    </sheetView>
  </sheetViews>
  <sheetFormatPr defaultColWidth="9.88671875" defaultRowHeight="15"/>
  <cols>
    <col min="1" max="1" width="24.3359375" style="4" customWidth="1"/>
    <col min="2" max="3" width="8.10546875" style="4" customWidth="1"/>
    <col min="4" max="17" width="7.88671875" style="4" customWidth="1"/>
    <col min="18" max="16384" width="9.88671875" style="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7" ht="15">
      <c r="A3" s="8" t="s">
        <v>1</v>
      </c>
      <c r="B3" s="9">
        <v>1988</v>
      </c>
      <c r="C3" s="10">
        <v>1989</v>
      </c>
      <c r="D3" s="10">
        <v>1990</v>
      </c>
      <c r="E3" s="10">
        <v>1991</v>
      </c>
      <c r="F3" s="11">
        <v>1992</v>
      </c>
      <c r="G3" s="9">
        <v>1993</v>
      </c>
      <c r="H3" s="10">
        <v>1994</v>
      </c>
      <c r="I3" s="10">
        <v>1995</v>
      </c>
      <c r="J3" s="10">
        <v>1996</v>
      </c>
      <c r="K3" s="12">
        <v>1997</v>
      </c>
      <c r="L3" s="10">
        <v>1998</v>
      </c>
      <c r="M3" s="10">
        <v>1999</v>
      </c>
      <c r="N3" s="13">
        <v>2000</v>
      </c>
      <c r="O3" s="14">
        <v>2001</v>
      </c>
      <c r="P3" s="14">
        <v>2002</v>
      </c>
      <c r="Q3" s="40" t="s">
        <v>23</v>
      </c>
    </row>
    <row r="4" spans="1:17" ht="15">
      <c r="A4" s="9"/>
      <c r="B4" s="108" t="s">
        <v>22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18" ht="15">
      <c r="A5" s="15" t="s">
        <v>2</v>
      </c>
      <c r="B5" s="16">
        <v>105</v>
      </c>
      <c r="C5" s="16">
        <v>108</v>
      </c>
      <c r="D5" s="16">
        <v>77</v>
      </c>
      <c r="E5" s="16">
        <v>202</v>
      </c>
      <c r="F5" s="16">
        <v>225</v>
      </c>
      <c r="G5" s="16">
        <v>216</v>
      </c>
      <c r="H5" s="16">
        <v>454</v>
      </c>
      <c r="I5" s="16">
        <v>389</v>
      </c>
      <c r="J5" s="16">
        <v>286</v>
      </c>
      <c r="K5" s="16">
        <v>323</v>
      </c>
      <c r="L5" s="16">
        <v>375</v>
      </c>
      <c r="M5" s="16">
        <v>441</v>
      </c>
      <c r="N5" s="16">
        <v>195</v>
      </c>
      <c r="O5" s="33">
        <v>327</v>
      </c>
      <c r="P5" s="33">
        <v>306</v>
      </c>
      <c r="Q5" s="33">
        <v>289</v>
      </c>
      <c r="R5" s="39"/>
    </row>
    <row r="6" spans="1:17" ht="15">
      <c r="A6" s="15" t="s">
        <v>3</v>
      </c>
      <c r="B6" s="16">
        <v>571</v>
      </c>
      <c r="C6" s="16">
        <v>373</v>
      </c>
      <c r="D6" s="16">
        <v>363</v>
      </c>
      <c r="E6" s="16">
        <v>418</v>
      </c>
      <c r="F6" s="16">
        <v>411</v>
      </c>
      <c r="G6" s="16">
        <v>307</v>
      </c>
      <c r="H6" s="16">
        <v>290</v>
      </c>
      <c r="I6" s="16">
        <v>365</v>
      </c>
      <c r="J6" s="16">
        <v>137</v>
      </c>
      <c r="K6" s="16">
        <v>97</v>
      </c>
      <c r="L6" s="16">
        <v>57</v>
      </c>
      <c r="M6" s="16">
        <v>45</v>
      </c>
      <c r="N6" s="16">
        <v>52</v>
      </c>
      <c r="O6" s="34">
        <v>55</v>
      </c>
      <c r="P6" s="34">
        <v>19</v>
      </c>
      <c r="Q6" s="34">
        <v>9</v>
      </c>
    </row>
    <row r="7" spans="1:17" ht="15">
      <c r="A7" s="15" t="s">
        <v>4</v>
      </c>
      <c r="B7" s="16">
        <v>16</v>
      </c>
      <c r="C7" s="16">
        <v>36</v>
      </c>
      <c r="D7" s="16">
        <v>65</v>
      </c>
      <c r="E7" s="16">
        <v>58</v>
      </c>
      <c r="F7" s="16">
        <v>142</v>
      </c>
      <c r="G7" s="16">
        <v>82</v>
      </c>
      <c r="H7" s="16">
        <v>823</v>
      </c>
      <c r="I7" s="16">
        <v>426</v>
      </c>
      <c r="J7" s="16">
        <v>430</v>
      </c>
      <c r="K7" s="16">
        <v>544</v>
      </c>
      <c r="L7" s="16">
        <v>1308</v>
      </c>
      <c r="M7" s="16">
        <v>1462</v>
      </c>
      <c r="N7" s="16">
        <v>620</v>
      </c>
      <c r="O7" s="35">
        <v>1807</v>
      </c>
      <c r="P7" s="35">
        <v>2111</v>
      </c>
      <c r="Q7" s="35">
        <v>1244</v>
      </c>
    </row>
    <row r="8" spans="1:17" ht="15">
      <c r="A8" s="15" t="s">
        <v>5</v>
      </c>
      <c r="B8" s="16">
        <v>104</v>
      </c>
      <c r="C8" s="16">
        <v>105</v>
      </c>
      <c r="D8" s="16">
        <v>284</v>
      </c>
      <c r="E8" s="16">
        <v>280</v>
      </c>
      <c r="F8" s="16">
        <v>75</v>
      </c>
      <c r="G8" s="16">
        <v>126</v>
      </c>
      <c r="H8" s="16">
        <v>98</v>
      </c>
      <c r="I8" s="16">
        <v>38</v>
      </c>
      <c r="J8" s="16">
        <v>7</v>
      </c>
      <c r="K8" s="16">
        <v>97</v>
      </c>
      <c r="L8" s="16">
        <v>41</v>
      </c>
      <c r="M8" s="16">
        <v>68</v>
      </c>
      <c r="N8" s="16">
        <v>37</v>
      </c>
      <c r="O8" s="34">
        <v>73</v>
      </c>
      <c r="P8" s="34">
        <v>98</v>
      </c>
      <c r="Q8" s="34">
        <v>5</v>
      </c>
    </row>
    <row r="9" spans="1:17" ht="15">
      <c r="A9" s="15" t="s">
        <v>7</v>
      </c>
      <c r="B9" s="17" t="s">
        <v>6</v>
      </c>
      <c r="C9" s="17" t="s">
        <v>6</v>
      </c>
      <c r="D9" s="17" t="s">
        <v>6</v>
      </c>
      <c r="E9" s="17" t="s">
        <v>6</v>
      </c>
      <c r="F9" s="16">
        <v>2</v>
      </c>
      <c r="G9" s="16">
        <v>0</v>
      </c>
      <c r="H9" s="16">
        <v>0</v>
      </c>
      <c r="I9" s="16">
        <v>0</v>
      </c>
      <c r="J9" s="16">
        <v>1</v>
      </c>
      <c r="K9" s="16">
        <v>0</v>
      </c>
      <c r="L9" s="16">
        <v>1</v>
      </c>
      <c r="M9" s="16">
        <v>1</v>
      </c>
      <c r="N9" s="16">
        <v>0</v>
      </c>
      <c r="O9" s="34">
        <v>21</v>
      </c>
      <c r="P9" s="34">
        <v>0</v>
      </c>
      <c r="Q9" s="34">
        <v>12</v>
      </c>
    </row>
    <row r="10" spans="1:17" ht="15">
      <c r="A10" s="18" t="s">
        <v>8</v>
      </c>
      <c r="B10" s="19">
        <f aca="true" t="shared" si="0" ref="B10:Q10">SUM(B5:B9)</f>
        <v>796</v>
      </c>
      <c r="C10" s="19">
        <f t="shared" si="0"/>
        <v>622</v>
      </c>
      <c r="D10" s="19">
        <f t="shared" si="0"/>
        <v>789</v>
      </c>
      <c r="E10" s="19">
        <f t="shared" si="0"/>
        <v>958</v>
      </c>
      <c r="F10" s="19">
        <f t="shared" si="0"/>
        <v>855</v>
      </c>
      <c r="G10" s="19">
        <f t="shared" si="0"/>
        <v>731</v>
      </c>
      <c r="H10" s="19">
        <f t="shared" si="0"/>
        <v>1665</v>
      </c>
      <c r="I10" s="19">
        <f t="shared" si="0"/>
        <v>1218</v>
      </c>
      <c r="J10" s="19">
        <f t="shared" si="0"/>
        <v>861</v>
      </c>
      <c r="K10" s="19">
        <f t="shared" si="0"/>
        <v>1061</v>
      </c>
      <c r="L10" s="19">
        <f t="shared" si="0"/>
        <v>1782</v>
      </c>
      <c r="M10" s="19">
        <f t="shared" si="0"/>
        <v>2017</v>
      </c>
      <c r="N10" s="19">
        <f t="shared" si="0"/>
        <v>904</v>
      </c>
      <c r="O10" s="36">
        <f t="shared" si="0"/>
        <v>2283</v>
      </c>
      <c r="P10" s="36">
        <f t="shared" si="0"/>
        <v>2534</v>
      </c>
      <c r="Q10" s="36">
        <f t="shared" si="0"/>
        <v>1559</v>
      </c>
    </row>
    <row r="11" spans="1:17" ht="15">
      <c r="A11" s="15" t="s">
        <v>9</v>
      </c>
      <c r="B11" s="16">
        <v>123</v>
      </c>
      <c r="C11" s="16">
        <v>133</v>
      </c>
      <c r="D11" s="16">
        <v>122</v>
      </c>
      <c r="E11" s="16">
        <v>120</v>
      </c>
      <c r="F11" s="16">
        <v>102</v>
      </c>
      <c r="G11" s="16">
        <v>77</v>
      </c>
      <c r="H11" s="16">
        <v>116</v>
      </c>
      <c r="I11" s="16">
        <v>70</v>
      </c>
      <c r="J11" s="16">
        <v>38</v>
      </c>
      <c r="K11" s="16">
        <v>54</v>
      </c>
      <c r="L11" s="16">
        <v>75</v>
      </c>
      <c r="M11" s="16">
        <v>172</v>
      </c>
      <c r="N11" s="16">
        <v>350</v>
      </c>
      <c r="O11" s="35">
        <v>690</v>
      </c>
      <c r="P11" s="35">
        <v>274</v>
      </c>
      <c r="Q11" s="35">
        <v>383</v>
      </c>
    </row>
    <row r="12" spans="1:17" ht="15">
      <c r="A12" s="15" t="s">
        <v>10</v>
      </c>
      <c r="B12" s="16">
        <v>1879</v>
      </c>
      <c r="C12" s="16">
        <v>1789</v>
      </c>
      <c r="D12" s="16">
        <v>2699</v>
      </c>
      <c r="E12" s="16">
        <v>3927</v>
      </c>
      <c r="F12" s="16">
        <v>3295</v>
      </c>
      <c r="G12" s="16">
        <v>3249</v>
      </c>
      <c r="H12" s="16">
        <v>3733</v>
      </c>
      <c r="I12" s="16">
        <v>3264</v>
      </c>
      <c r="J12" s="16">
        <v>3312</v>
      </c>
      <c r="K12" s="16">
        <v>3886</v>
      </c>
      <c r="L12" s="16">
        <v>4924</v>
      </c>
      <c r="M12" s="16">
        <v>5756</v>
      </c>
      <c r="N12" s="16">
        <v>6794</v>
      </c>
      <c r="O12" s="35">
        <v>7396</v>
      </c>
      <c r="P12" s="35">
        <v>6903</v>
      </c>
      <c r="Q12" s="35">
        <v>6850</v>
      </c>
    </row>
    <row r="13" spans="1:17" ht="15">
      <c r="A13" s="15" t="s">
        <v>11</v>
      </c>
      <c r="B13" s="16">
        <v>105</v>
      </c>
      <c r="C13" s="16">
        <v>180</v>
      </c>
      <c r="D13" s="16">
        <v>275</v>
      </c>
      <c r="E13" s="16">
        <v>772</v>
      </c>
      <c r="F13" s="16">
        <v>752</v>
      </c>
      <c r="G13" s="16">
        <v>534</v>
      </c>
      <c r="H13" s="16">
        <v>771</v>
      </c>
      <c r="I13" s="16">
        <v>923</v>
      </c>
      <c r="J13" s="16">
        <v>771</v>
      </c>
      <c r="K13" s="16">
        <v>944</v>
      </c>
      <c r="L13" s="16">
        <v>976</v>
      </c>
      <c r="M13" s="16">
        <v>1044</v>
      </c>
      <c r="N13" s="16">
        <v>1061</v>
      </c>
      <c r="O13" s="35">
        <v>908</v>
      </c>
      <c r="P13" s="35">
        <v>905</v>
      </c>
      <c r="Q13" s="35">
        <v>708</v>
      </c>
    </row>
    <row r="14" spans="1:17" ht="15">
      <c r="A14" s="15" t="s">
        <v>12</v>
      </c>
      <c r="B14" s="16">
        <v>303</v>
      </c>
      <c r="C14" s="16">
        <v>424</v>
      </c>
      <c r="D14" s="16">
        <v>334</v>
      </c>
      <c r="E14" s="16">
        <v>169</v>
      </c>
      <c r="F14" s="16">
        <v>211</v>
      </c>
      <c r="G14" s="16">
        <v>237</v>
      </c>
      <c r="H14" s="16">
        <v>224</v>
      </c>
      <c r="I14" s="16">
        <v>212</v>
      </c>
      <c r="J14" s="16">
        <v>70</v>
      </c>
      <c r="K14" s="16">
        <v>86</v>
      </c>
      <c r="L14" s="16">
        <v>84</v>
      </c>
      <c r="M14" s="16">
        <v>296</v>
      </c>
      <c r="N14" s="16">
        <v>937</v>
      </c>
      <c r="O14" s="35">
        <v>2220</v>
      </c>
      <c r="P14" s="35">
        <v>1998</v>
      </c>
      <c r="Q14" s="35">
        <v>2534</v>
      </c>
    </row>
    <row r="15" spans="1:17" ht="15">
      <c r="A15" s="15" t="s">
        <v>7</v>
      </c>
      <c r="B15" s="16">
        <v>9</v>
      </c>
      <c r="C15" s="16">
        <v>1</v>
      </c>
      <c r="D15" s="16">
        <v>4</v>
      </c>
      <c r="E15" s="16">
        <v>1</v>
      </c>
      <c r="F15" s="16">
        <v>43</v>
      </c>
      <c r="G15" s="16">
        <v>7</v>
      </c>
      <c r="H15" s="16">
        <v>0</v>
      </c>
      <c r="I15" s="16">
        <v>0</v>
      </c>
      <c r="J15" s="16">
        <v>0</v>
      </c>
      <c r="K15" s="17" t="s">
        <v>6</v>
      </c>
      <c r="L15" s="17" t="s">
        <v>20</v>
      </c>
      <c r="M15" s="32">
        <v>3</v>
      </c>
      <c r="N15" s="32">
        <v>22</v>
      </c>
      <c r="O15" s="37">
        <v>15</v>
      </c>
      <c r="P15" s="37">
        <v>39</v>
      </c>
      <c r="Q15" s="37">
        <v>2</v>
      </c>
    </row>
    <row r="16" spans="1:17" ht="15">
      <c r="A16" s="18" t="s">
        <v>13</v>
      </c>
      <c r="B16" s="19">
        <f aca="true" t="shared" si="1" ref="B16:Q16">SUM(B11:B15)</f>
        <v>2419</v>
      </c>
      <c r="C16" s="19">
        <f t="shared" si="1"/>
        <v>2527</v>
      </c>
      <c r="D16" s="19">
        <f t="shared" si="1"/>
        <v>3434</v>
      </c>
      <c r="E16" s="19">
        <f t="shared" si="1"/>
        <v>4989</v>
      </c>
      <c r="F16" s="19">
        <f t="shared" si="1"/>
        <v>4403</v>
      </c>
      <c r="G16" s="19">
        <f t="shared" si="1"/>
        <v>4104</v>
      </c>
      <c r="H16" s="19">
        <f t="shared" si="1"/>
        <v>4844</v>
      </c>
      <c r="I16" s="19">
        <f t="shared" si="1"/>
        <v>4469</v>
      </c>
      <c r="J16" s="19">
        <f t="shared" si="1"/>
        <v>4191</v>
      </c>
      <c r="K16" s="19">
        <f t="shared" si="1"/>
        <v>4970</v>
      </c>
      <c r="L16" s="19">
        <f t="shared" si="1"/>
        <v>6059</v>
      </c>
      <c r="M16" s="31">
        <f t="shared" si="1"/>
        <v>7271</v>
      </c>
      <c r="N16" s="31">
        <f t="shared" si="1"/>
        <v>9164</v>
      </c>
      <c r="O16" s="36">
        <f t="shared" si="1"/>
        <v>11229</v>
      </c>
      <c r="P16" s="36">
        <f t="shared" si="1"/>
        <v>10119</v>
      </c>
      <c r="Q16" s="36">
        <f t="shared" si="1"/>
        <v>10477</v>
      </c>
    </row>
    <row r="17" spans="1:17" ht="15">
      <c r="A17" s="15" t="s">
        <v>14</v>
      </c>
      <c r="B17" s="16">
        <f>266+95</f>
        <v>361</v>
      </c>
      <c r="C17" s="16">
        <f>288+23</f>
        <v>311</v>
      </c>
      <c r="D17" s="16">
        <f>716+70</f>
        <v>786</v>
      </c>
      <c r="E17" s="16">
        <f>1414+406</f>
        <v>1820</v>
      </c>
      <c r="F17" s="16">
        <f>1275+201</f>
        <v>1476</v>
      </c>
      <c r="G17" s="16">
        <f>893+34</f>
        <v>927</v>
      </c>
      <c r="H17" s="16">
        <f>577+12</f>
        <v>589</v>
      </c>
      <c r="I17" s="16">
        <f>2679+103</f>
        <v>2782</v>
      </c>
      <c r="J17" s="16">
        <v>2426</v>
      </c>
      <c r="K17" s="16">
        <v>1590</v>
      </c>
      <c r="L17" s="16">
        <v>1951</v>
      </c>
      <c r="M17" s="16">
        <v>1611</v>
      </c>
      <c r="N17" s="16">
        <v>1555</v>
      </c>
      <c r="O17" s="35">
        <v>1747</v>
      </c>
      <c r="P17" s="35">
        <v>1461</v>
      </c>
      <c r="Q17" s="35">
        <v>1814</v>
      </c>
    </row>
    <row r="18" spans="1:17" ht="15">
      <c r="A18" s="15" t="s">
        <v>15</v>
      </c>
      <c r="B18" s="16">
        <v>2742</v>
      </c>
      <c r="C18" s="16">
        <v>2358</v>
      </c>
      <c r="D18" s="16">
        <v>4512</v>
      </c>
      <c r="E18" s="16">
        <v>5496</v>
      </c>
      <c r="F18" s="16">
        <v>5974</v>
      </c>
      <c r="G18" s="16">
        <v>4629</v>
      </c>
      <c r="H18" s="16">
        <v>5202</v>
      </c>
      <c r="I18" s="16">
        <v>4228</v>
      </c>
      <c r="J18" s="16">
        <v>6012</v>
      </c>
      <c r="K18" s="16">
        <v>7231</v>
      </c>
      <c r="L18" s="16">
        <v>6685</v>
      </c>
      <c r="M18" s="16">
        <v>5765</v>
      </c>
      <c r="N18" s="16">
        <v>4578</v>
      </c>
      <c r="O18" s="35">
        <v>5773</v>
      </c>
      <c r="P18" s="35">
        <v>6798</v>
      </c>
      <c r="Q18" s="35">
        <v>6065</v>
      </c>
    </row>
    <row r="19" spans="1:17" ht="15">
      <c r="A19" s="15" t="s">
        <v>16</v>
      </c>
      <c r="B19" s="16">
        <v>476</v>
      </c>
      <c r="C19" s="16">
        <v>209</v>
      </c>
      <c r="D19" s="16">
        <v>1151</v>
      </c>
      <c r="E19" s="16">
        <v>1284</v>
      </c>
      <c r="F19" s="16">
        <v>1399</v>
      </c>
      <c r="G19" s="16">
        <v>1532</v>
      </c>
      <c r="H19" s="16">
        <v>1592</v>
      </c>
      <c r="I19" s="16">
        <v>939</v>
      </c>
      <c r="J19" s="16">
        <v>1189</v>
      </c>
      <c r="K19" s="16">
        <v>809</v>
      </c>
      <c r="L19" s="16">
        <v>2301</v>
      </c>
      <c r="M19" s="16">
        <v>2320</v>
      </c>
      <c r="N19" s="16">
        <v>3716</v>
      </c>
      <c r="O19" s="35">
        <v>3221</v>
      </c>
      <c r="P19" s="35">
        <v>3386</v>
      </c>
      <c r="Q19" s="35">
        <v>2499</v>
      </c>
    </row>
    <row r="20" spans="1:17" ht="15">
      <c r="A20" s="15" t="s">
        <v>17</v>
      </c>
      <c r="B20" s="16">
        <v>295</v>
      </c>
      <c r="C20" s="16">
        <v>176</v>
      </c>
      <c r="D20" s="16">
        <v>128</v>
      </c>
      <c r="E20" s="16">
        <v>446</v>
      </c>
      <c r="F20" s="16">
        <v>622</v>
      </c>
      <c r="G20" s="16">
        <v>749</v>
      </c>
      <c r="H20" s="16">
        <v>1187</v>
      </c>
      <c r="I20" s="16">
        <v>996</v>
      </c>
      <c r="J20" s="16">
        <v>2295</v>
      </c>
      <c r="K20" s="16">
        <v>3737</v>
      </c>
      <c r="L20" s="16">
        <v>3098</v>
      </c>
      <c r="M20" s="16">
        <v>2841</v>
      </c>
      <c r="N20" s="16">
        <v>2744</v>
      </c>
      <c r="O20" s="35">
        <v>3164</v>
      </c>
      <c r="P20" s="35">
        <v>2853</v>
      </c>
      <c r="Q20" s="35">
        <v>2910</v>
      </c>
    </row>
    <row r="21" spans="1:17" ht="15">
      <c r="A21" s="18" t="s">
        <v>7</v>
      </c>
      <c r="B21" s="19">
        <f>378-295</f>
        <v>83</v>
      </c>
      <c r="C21" s="19">
        <f>382-176</f>
        <v>206</v>
      </c>
      <c r="D21" s="19">
        <f>185-128</f>
        <v>57</v>
      </c>
      <c r="E21" s="19">
        <f>861-446</f>
        <v>415</v>
      </c>
      <c r="F21" s="19">
        <f>1334-622</f>
        <v>712</v>
      </c>
      <c r="G21" s="19">
        <f>1203-749</f>
        <v>454</v>
      </c>
      <c r="H21" s="31">
        <v>479</v>
      </c>
      <c r="I21" s="19">
        <f>1480-996</f>
        <v>484</v>
      </c>
      <c r="J21" s="19">
        <v>330</v>
      </c>
      <c r="K21" s="19">
        <v>726</v>
      </c>
      <c r="L21" s="19">
        <v>479</v>
      </c>
      <c r="M21" s="31">
        <v>897</v>
      </c>
      <c r="N21" s="31">
        <v>690</v>
      </c>
      <c r="O21" s="35">
        <v>1584</v>
      </c>
      <c r="P21" s="35">
        <v>1174</v>
      </c>
      <c r="Q21" s="35">
        <v>1007</v>
      </c>
    </row>
    <row r="22" spans="1:17" ht="15">
      <c r="A22" s="18" t="s">
        <v>18</v>
      </c>
      <c r="B22" s="19">
        <f aca="true" t="shared" si="2" ref="B22:Q22">SUM(B17:B21)+B10+B16</f>
        <v>7172</v>
      </c>
      <c r="C22" s="19">
        <f t="shared" si="2"/>
        <v>6409</v>
      </c>
      <c r="D22" s="19">
        <f t="shared" si="2"/>
        <v>10857</v>
      </c>
      <c r="E22" s="19">
        <f t="shared" si="2"/>
        <v>15408</v>
      </c>
      <c r="F22" s="19">
        <f t="shared" si="2"/>
        <v>15441</v>
      </c>
      <c r="G22" s="19">
        <f t="shared" si="2"/>
        <v>13126</v>
      </c>
      <c r="H22" s="19">
        <f t="shared" si="2"/>
        <v>15558</v>
      </c>
      <c r="I22" s="19">
        <f t="shared" si="2"/>
        <v>15116</v>
      </c>
      <c r="J22" s="19">
        <f t="shared" si="2"/>
        <v>17304</v>
      </c>
      <c r="K22" s="19">
        <f t="shared" si="2"/>
        <v>20124</v>
      </c>
      <c r="L22" s="19">
        <f t="shared" si="2"/>
        <v>22355</v>
      </c>
      <c r="M22" s="19">
        <f t="shared" si="2"/>
        <v>22722</v>
      </c>
      <c r="N22" s="19">
        <f t="shared" si="2"/>
        <v>23351</v>
      </c>
      <c r="O22" s="38">
        <f t="shared" si="2"/>
        <v>29001</v>
      </c>
      <c r="P22" s="38">
        <f t="shared" si="2"/>
        <v>28325</v>
      </c>
      <c r="Q22" s="38">
        <f t="shared" si="2"/>
        <v>26331</v>
      </c>
    </row>
    <row r="23" spans="1:17" ht="15">
      <c r="A23" s="20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1"/>
      <c r="N23" s="22"/>
      <c r="O23" s="22"/>
      <c r="P23" s="22"/>
      <c r="Q23" s="23"/>
    </row>
    <row r="24" spans="1:17" ht="15">
      <c r="A24" s="2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26"/>
      <c r="Q24" s="27"/>
    </row>
    <row r="40" ht="15">
      <c r="A40" s="2"/>
    </row>
    <row r="42" ht="15">
      <c r="A42" s="2"/>
    </row>
    <row r="44" spans="1:2" ht="15">
      <c r="A44" s="2"/>
      <c r="B44" s="28"/>
    </row>
    <row r="46" spans="1:20" ht="15">
      <c r="A46" s="2"/>
      <c r="B46" s="29"/>
      <c r="C46" s="30"/>
      <c r="D46" s="29"/>
      <c r="E46" s="30"/>
      <c r="F46" s="29"/>
      <c r="G46" s="30"/>
      <c r="H46" s="29"/>
      <c r="I46" s="30"/>
      <c r="J46" s="29"/>
      <c r="K46" s="30"/>
      <c r="L46" s="30"/>
      <c r="M46" s="29"/>
      <c r="N46" s="30"/>
      <c r="O46" s="29"/>
      <c r="P46" s="30"/>
      <c r="Q46" s="29"/>
      <c r="R46" s="30"/>
      <c r="S46" s="29"/>
      <c r="T46" s="30"/>
    </row>
    <row r="47" spans="1:20" ht="15">
      <c r="A47" s="2"/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5">
      <c r="A48" s="2"/>
      <c r="B48" s="29"/>
      <c r="C48" s="30"/>
      <c r="D48" s="29"/>
      <c r="E48" s="30"/>
      <c r="F48" s="29"/>
      <c r="G48" s="30"/>
      <c r="H48" s="29"/>
      <c r="I48" s="30"/>
      <c r="J48" s="29"/>
      <c r="K48" s="30"/>
      <c r="L48" s="30"/>
      <c r="M48" s="29"/>
      <c r="N48" s="30"/>
      <c r="O48" s="29"/>
      <c r="P48" s="30"/>
      <c r="Q48" s="29"/>
      <c r="R48" s="30"/>
      <c r="S48" s="29"/>
      <c r="T48" s="30"/>
    </row>
    <row r="49" spans="1:20" ht="15">
      <c r="A49" s="2"/>
      <c r="B49" s="29"/>
      <c r="C49" s="30"/>
      <c r="D49" s="29"/>
      <c r="E49" s="30"/>
      <c r="F49" s="29"/>
      <c r="G49" s="30"/>
      <c r="H49" s="29"/>
      <c r="I49" s="30"/>
      <c r="J49" s="29"/>
      <c r="K49" s="30"/>
      <c r="L49" s="30"/>
      <c r="M49" s="29"/>
      <c r="N49" s="30"/>
      <c r="O49" s="29"/>
      <c r="P49" s="30"/>
      <c r="Q49" s="29"/>
      <c r="R49" s="30"/>
      <c r="S49" s="29"/>
      <c r="T49" s="30"/>
    </row>
    <row r="50" spans="1:20" ht="15">
      <c r="A50" s="2"/>
      <c r="B50" s="29"/>
      <c r="C50" s="30"/>
      <c r="D50" s="29"/>
      <c r="E50" s="30"/>
      <c r="F50" s="29"/>
      <c r="G50" s="30"/>
      <c r="H50" s="29"/>
      <c r="I50" s="30"/>
      <c r="J50" s="29"/>
      <c r="K50" s="30"/>
      <c r="L50" s="30"/>
      <c r="M50" s="29"/>
      <c r="N50" s="30"/>
      <c r="O50" s="29"/>
      <c r="P50" s="30"/>
      <c r="Q50" s="29"/>
      <c r="R50" s="30"/>
      <c r="S50" s="29"/>
      <c r="T50" s="30"/>
    </row>
    <row r="51" spans="1:20" ht="15">
      <c r="A51" s="2"/>
      <c r="B51" s="29"/>
      <c r="C51" s="30"/>
      <c r="D51" s="29"/>
      <c r="E51" s="30"/>
      <c r="F51" s="29"/>
      <c r="G51" s="30"/>
      <c r="H51" s="29"/>
      <c r="I51" s="30"/>
      <c r="J51" s="29"/>
      <c r="K51" s="30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5">
      <c r="A52" s="2"/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30"/>
      <c r="M52" s="29"/>
      <c r="N52" s="30"/>
      <c r="O52" s="29"/>
      <c r="P52" s="30"/>
      <c r="Q52" s="29"/>
      <c r="R52" s="30"/>
      <c r="S52" s="29"/>
      <c r="T52" s="30"/>
    </row>
    <row r="53" spans="1:20" ht="15">
      <c r="A53" s="2"/>
      <c r="B53" s="29"/>
      <c r="C53" s="30"/>
      <c r="D53" s="29"/>
      <c r="E53" s="30"/>
      <c r="F53" s="29"/>
      <c r="G53" s="30"/>
      <c r="H53" s="29"/>
      <c r="I53" s="30"/>
      <c r="J53" s="29"/>
      <c r="K53" s="30"/>
      <c r="L53" s="30"/>
      <c r="M53" s="29"/>
      <c r="N53" s="30"/>
      <c r="O53" s="29"/>
      <c r="P53" s="30"/>
      <c r="Q53" s="29"/>
      <c r="R53" s="30"/>
      <c r="S53" s="29"/>
      <c r="T53" s="30"/>
    </row>
    <row r="54" spans="1:20" ht="15">
      <c r="A54" s="2"/>
      <c r="B54" s="29"/>
      <c r="C54" s="30"/>
      <c r="D54" s="29"/>
      <c r="E54" s="30"/>
      <c r="F54" s="29"/>
      <c r="G54" s="30"/>
      <c r="H54" s="29"/>
      <c r="I54" s="30"/>
      <c r="J54" s="29"/>
      <c r="K54" s="30"/>
      <c r="L54" s="30"/>
      <c r="M54" s="29"/>
      <c r="N54" s="30"/>
      <c r="O54" s="29"/>
      <c r="P54" s="30"/>
      <c r="Q54" s="29"/>
      <c r="R54" s="30"/>
      <c r="S54" s="29"/>
      <c r="T54" s="30"/>
    </row>
    <row r="55" spans="1:20" ht="15">
      <c r="A55" s="2"/>
      <c r="B55" s="29"/>
      <c r="C55" s="30"/>
      <c r="D55" s="29"/>
      <c r="E55" s="30"/>
      <c r="F55" s="29"/>
      <c r="G55" s="30"/>
      <c r="H55" s="29"/>
      <c r="I55" s="30"/>
      <c r="J55" s="29"/>
      <c r="K55" s="30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5">
      <c r="A56" s="2"/>
      <c r="B56" s="29"/>
      <c r="C56" s="30"/>
      <c r="D56" s="29"/>
      <c r="E56" s="30"/>
      <c r="F56" s="29"/>
      <c r="G56" s="30"/>
      <c r="H56" s="29"/>
      <c r="I56" s="30"/>
      <c r="J56" s="29"/>
      <c r="K56" s="30"/>
      <c r="L56" s="30"/>
      <c r="M56" s="29"/>
      <c r="N56" s="30"/>
      <c r="O56" s="29"/>
      <c r="P56" s="30"/>
      <c r="Q56" s="29"/>
      <c r="R56" s="30"/>
      <c r="S56" s="29"/>
      <c r="T56" s="30"/>
    </row>
    <row r="57" spans="1:20" ht="15">
      <c r="A57" s="2"/>
      <c r="B57" s="29"/>
      <c r="C57" s="30"/>
      <c r="D57" s="29"/>
      <c r="E57" s="30"/>
      <c r="F57" s="29"/>
      <c r="G57" s="30"/>
      <c r="H57" s="29"/>
      <c r="I57" s="30"/>
      <c r="J57" s="29"/>
      <c r="K57" s="30"/>
      <c r="L57" s="30"/>
      <c r="M57" s="29"/>
      <c r="N57" s="30"/>
      <c r="O57" s="29"/>
      <c r="P57" s="30"/>
      <c r="Q57" s="29"/>
      <c r="R57" s="30"/>
      <c r="S57" s="29"/>
      <c r="T57" s="30"/>
    </row>
    <row r="58" spans="1:20" ht="15">
      <c r="A58" s="2"/>
      <c r="B58" s="29"/>
      <c r="C58" s="30"/>
      <c r="D58" s="29"/>
      <c r="E58" s="30"/>
      <c r="F58" s="29"/>
      <c r="G58" s="30"/>
      <c r="H58" s="29"/>
      <c r="I58" s="30"/>
      <c r="J58" s="29"/>
      <c r="K58" s="30"/>
      <c r="L58" s="30"/>
      <c r="M58" s="29"/>
      <c r="N58" s="30"/>
      <c r="O58" s="29"/>
      <c r="P58" s="30"/>
      <c r="Q58" s="29"/>
      <c r="R58" s="30"/>
      <c r="S58" s="29"/>
      <c r="T58" s="30"/>
    </row>
    <row r="59" spans="1:20" ht="15">
      <c r="A59" s="2"/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5">
      <c r="A60" s="2"/>
      <c r="B60" s="29"/>
      <c r="C60" s="30"/>
      <c r="D60" s="29"/>
      <c r="E60" s="30"/>
      <c r="F60" s="29"/>
      <c r="G60" s="30"/>
      <c r="H60" s="29"/>
      <c r="I60" s="30"/>
      <c r="J60" s="29"/>
      <c r="K60" s="30"/>
      <c r="L60" s="30"/>
      <c r="M60" s="29"/>
      <c r="N60" s="30"/>
      <c r="O60" s="29"/>
      <c r="P60" s="30"/>
      <c r="Q60" s="29"/>
      <c r="R60" s="30"/>
      <c r="S60" s="29"/>
      <c r="T60" s="30"/>
    </row>
    <row r="61" spans="1:20" ht="15">
      <c r="A61" s="2"/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30"/>
      <c r="M61" s="29"/>
      <c r="N61" s="30"/>
      <c r="O61" s="29"/>
      <c r="P61" s="30"/>
      <c r="Q61" s="29"/>
      <c r="R61" s="30"/>
      <c r="S61" s="29"/>
      <c r="T61" s="30"/>
    </row>
    <row r="62" spans="1:20" ht="15">
      <c r="A62" s="2"/>
      <c r="B62" s="29"/>
      <c r="C62" s="30"/>
      <c r="D62" s="29"/>
      <c r="E62" s="30"/>
      <c r="F62" s="29"/>
      <c r="G62" s="30"/>
      <c r="H62" s="29"/>
      <c r="I62" s="30"/>
      <c r="J62" s="29"/>
      <c r="K62" s="30"/>
      <c r="L62" s="30"/>
      <c r="M62" s="29"/>
      <c r="N62" s="30"/>
      <c r="O62" s="29"/>
      <c r="P62" s="30"/>
      <c r="Q62" s="29"/>
      <c r="R62" s="30"/>
      <c r="S62" s="29"/>
      <c r="T62" s="30"/>
    </row>
    <row r="63" spans="1:20" ht="15">
      <c r="A63" s="2"/>
      <c r="B63" s="29"/>
      <c r="C63" s="30"/>
      <c r="D63" s="29"/>
      <c r="E63" s="30"/>
      <c r="F63" s="29"/>
      <c r="G63" s="30"/>
      <c r="H63" s="29"/>
      <c r="I63" s="30"/>
      <c r="J63" s="29"/>
      <c r="K63" s="30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5">
      <c r="A64" s="2"/>
      <c r="B64" s="29"/>
      <c r="C64" s="30"/>
      <c r="D64" s="29"/>
      <c r="E64" s="30"/>
      <c r="F64" s="29"/>
      <c r="G64" s="30"/>
      <c r="H64" s="29"/>
      <c r="I64" s="30"/>
      <c r="J64" s="29"/>
      <c r="K64" s="30"/>
      <c r="L64" s="30"/>
      <c r="M64" s="29"/>
      <c r="N64" s="30"/>
      <c r="O64" s="29"/>
      <c r="P64" s="30"/>
      <c r="Q64" s="29"/>
      <c r="R64" s="30"/>
      <c r="S64" s="29"/>
      <c r="T64" s="30"/>
    </row>
    <row r="65" spans="1:20" ht="15">
      <c r="A65" s="2"/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30"/>
      <c r="M65" s="29"/>
      <c r="N65" s="30"/>
      <c r="O65" s="29"/>
      <c r="P65" s="30"/>
      <c r="Q65" s="29"/>
      <c r="R65" s="30"/>
      <c r="S65" s="29"/>
      <c r="T65" s="30"/>
    </row>
    <row r="66" spans="1:20" ht="15">
      <c r="A66" s="2"/>
      <c r="B66" s="29"/>
      <c r="C66" s="30"/>
      <c r="D66" s="29"/>
      <c r="E66" s="30"/>
      <c r="F66" s="29"/>
      <c r="G66" s="30"/>
      <c r="H66" s="29"/>
      <c r="I66" s="30"/>
      <c r="J66" s="29"/>
      <c r="K66" s="30"/>
      <c r="L66" s="30"/>
      <c r="M66" s="29"/>
      <c r="N66" s="30"/>
      <c r="O66" s="29"/>
      <c r="P66" s="30"/>
      <c r="Q66" s="29"/>
      <c r="R66" s="30"/>
      <c r="S66" s="29"/>
      <c r="T66" s="30"/>
    </row>
    <row r="67" spans="1:20" ht="15">
      <c r="A67" s="2"/>
      <c r="B67" s="29"/>
      <c r="C67" s="30"/>
      <c r="D67" s="29"/>
      <c r="E67" s="30"/>
      <c r="F67" s="29"/>
      <c r="G67" s="30"/>
      <c r="H67" s="29"/>
      <c r="I67" s="30"/>
      <c r="J67" s="29"/>
      <c r="K67" s="30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5">
      <c r="A68" s="2"/>
      <c r="B68" s="29"/>
      <c r="C68" s="30"/>
      <c r="D68" s="29"/>
      <c r="E68" s="30"/>
      <c r="F68" s="29"/>
      <c r="G68" s="30"/>
      <c r="H68" s="29"/>
      <c r="I68" s="30"/>
      <c r="J68" s="29"/>
      <c r="K68" s="30"/>
      <c r="L68" s="30"/>
      <c r="M68" s="29"/>
      <c r="N68" s="30"/>
      <c r="O68" s="29"/>
      <c r="P68" s="30"/>
      <c r="Q68" s="29"/>
      <c r="R68" s="30"/>
      <c r="S68" s="29"/>
      <c r="T68" s="30"/>
    </row>
    <row r="69" spans="1:20" ht="15">
      <c r="A69" s="2"/>
      <c r="B69" s="29"/>
      <c r="C69" s="30"/>
      <c r="D69" s="29"/>
      <c r="E69" s="30"/>
      <c r="F69" s="29"/>
      <c r="G69" s="30"/>
      <c r="H69" s="29"/>
      <c r="I69" s="30"/>
      <c r="J69" s="29"/>
      <c r="K69" s="30"/>
      <c r="L69" s="30"/>
      <c r="M69" s="29"/>
      <c r="N69" s="30"/>
      <c r="O69" s="29"/>
      <c r="P69" s="30"/>
      <c r="Q69" s="29"/>
      <c r="R69" s="30"/>
      <c r="S69" s="29"/>
      <c r="T69" s="30"/>
    </row>
    <row r="70" spans="1:20" ht="15">
      <c r="A70" s="2"/>
      <c r="B70" s="29"/>
      <c r="C70" s="30"/>
      <c r="D70" s="29"/>
      <c r="E70" s="30"/>
      <c r="F70" s="29"/>
      <c r="G70" s="30"/>
      <c r="H70" s="29"/>
      <c r="I70" s="30"/>
      <c r="J70" s="29"/>
      <c r="K70" s="30"/>
      <c r="L70" s="30"/>
      <c r="M70" s="29"/>
      <c r="N70" s="30"/>
      <c r="O70" s="29"/>
      <c r="P70" s="30"/>
      <c r="Q70" s="29"/>
      <c r="R70" s="30"/>
      <c r="S70" s="29"/>
      <c r="T70" s="30"/>
    </row>
    <row r="71" spans="1:20" ht="15">
      <c r="A71" s="2"/>
      <c r="B71" s="29"/>
      <c r="C71" s="30"/>
      <c r="D71" s="29"/>
      <c r="E71" s="30"/>
      <c r="F71" s="29"/>
      <c r="G71" s="30"/>
      <c r="H71" s="29"/>
      <c r="I71" s="30"/>
      <c r="J71" s="29"/>
      <c r="K71" s="30"/>
      <c r="L71" s="30"/>
      <c r="M71" s="29"/>
      <c r="N71" s="30"/>
      <c r="O71" s="29"/>
      <c r="P71" s="30"/>
      <c r="Q71" s="29"/>
      <c r="R71" s="30"/>
      <c r="S71" s="29"/>
      <c r="T71" s="30"/>
    </row>
    <row r="72" ht="15">
      <c r="A72" s="2"/>
    </row>
    <row r="73" spans="1:20" ht="15">
      <c r="A73" s="2"/>
      <c r="B73" s="29"/>
      <c r="C73" s="30"/>
      <c r="D73" s="29"/>
      <c r="E73" s="30"/>
      <c r="F73" s="29"/>
      <c r="G73" s="30"/>
      <c r="H73" s="29"/>
      <c r="I73" s="30"/>
      <c r="J73" s="29"/>
      <c r="K73" s="30"/>
      <c r="L73" s="30"/>
      <c r="M73" s="29"/>
      <c r="N73" s="30"/>
      <c r="O73" s="29"/>
      <c r="P73" s="30"/>
      <c r="Q73" s="29"/>
      <c r="R73" s="30"/>
      <c r="S73" s="29"/>
      <c r="T73" s="30"/>
    </row>
  </sheetData>
  <sheetProtection/>
  <mergeCells count="1">
    <mergeCell ref="B4:Q4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3"/>
  <sheetViews>
    <sheetView showGridLines="0" defaultGridColor="0" zoomScale="80" zoomScaleNormal="80" zoomScalePageLayoutView="0" colorId="22" workbookViewId="0" topLeftCell="A1">
      <selection activeCell="J3" sqref="J3"/>
    </sheetView>
  </sheetViews>
  <sheetFormatPr defaultColWidth="9.88671875" defaultRowHeight="15"/>
  <cols>
    <col min="1" max="1" width="23.99609375" style="4" customWidth="1"/>
    <col min="2" max="15" width="7.88671875" style="4" customWidth="1"/>
    <col min="16" max="16384" width="9.88671875" style="4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5" ht="15">
      <c r="A3" s="8" t="s">
        <v>1</v>
      </c>
      <c r="B3" s="10">
        <v>1990</v>
      </c>
      <c r="C3" s="10">
        <v>1991</v>
      </c>
      <c r="D3" s="11">
        <v>1992</v>
      </c>
      <c r="E3" s="9">
        <v>1993</v>
      </c>
      <c r="F3" s="10">
        <v>1994</v>
      </c>
      <c r="G3" s="10">
        <v>1995</v>
      </c>
      <c r="H3" s="10">
        <v>1996</v>
      </c>
      <c r="I3" s="12">
        <v>1997</v>
      </c>
      <c r="J3" s="10">
        <v>1998</v>
      </c>
      <c r="K3" s="10">
        <v>1999</v>
      </c>
      <c r="L3" s="13">
        <v>2000</v>
      </c>
      <c r="M3" s="14">
        <v>2001</v>
      </c>
      <c r="N3" s="49">
        <v>2002</v>
      </c>
      <c r="O3" s="59" t="s">
        <v>23</v>
      </c>
    </row>
    <row r="4" spans="1:15" ht="15">
      <c r="A4" s="9"/>
      <c r="B4" s="109" t="s">
        <v>22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16" ht="15">
      <c r="A5" s="15" t="s">
        <v>2</v>
      </c>
      <c r="B5" s="16">
        <v>77</v>
      </c>
      <c r="C5" s="16">
        <v>202</v>
      </c>
      <c r="D5" s="16">
        <v>225</v>
      </c>
      <c r="E5" s="16">
        <v>216</v>
      </c>
      <c r="F5" s="16">
        <v>454</v>
      </c>
      <c r="G5" s="16">
        <v>389</v>
      </c>
      <c r="H5" s="16">
        <v>286</v>
      </c>
      <c r="I5" s="16">
        <v>323</v>
      </c>
      <c r="J5" s="16">
        <v>375</v>
      </c>
      <c r="K5" s="16">
        <v>441</v>
      </c>
      <c r="L5" s="16">
        <v>195</v>
      </c>
      <c r="M5" s="33">
        <v>327</v>
      </c>
      <c r="N5" s="33">
        <v>306</v>
      </c>
      <c r="O5" s="33">
        <v>289</v>
      </c>
      <c r="P5" s="39"/>
    </row>
    <row r="6" spans="1:15" ht="15">
      <c r="A6" s="15" t="s">
        <v>3</v>
      </c>
      <c r="B6" s="16">
        <v>363</v>
      </c>
      <c r="C6" s="16">
        <v>418</v>
      </c>
      <c r="D6" s="16">
        <v>411</v>
      </c>
      <c r="E6" s="16">
        <v>307</v>
      </c>
      <c r="F6" s="16">
        <v>290</v>
      </c>
      <c r="G6" s="16">
        <v>365</v>
      </c>
      <c r="H6" s="16">
        <v>137</v>
      </c>
      <c r="I6" s="16">
        <v>97</v>
      </c>
      <c r="J6" s="16">
        <v>57</v>
      </c>
      <c r="K6" s="16">
        <v>45</v>
      </c>
      <c r="L6" s="16">
        <v>52</v>
      </c>
      <c r="M6" s="34">
        <v>55</v>
      </c>
      <c r="N6" s="34">
        <v>19</v>
      </c>
      <c r="O6" s="34">
        <v>9</v>
      </c>
    </row>
    <row r="7" spans="1:15" ht="15">
      <c r="A7" s="15" t="s">
        <v>4</v>
      </c>
      <c r="B7" s="16">
        <v>65</v>
      </c>
      <c r="C7" s="16">
        <v>58</v>
      </c>
      <c r="D7" s="16">
        <v>142</v>
      </c>
      <c r="E7" s="16">
        <v>82</v>
      </c>
      <c r="F7" s="16">
        <v>823</v>
      </c>
      <c r="G7" s="16">
        <v>426</v>
      </c>
      <c r="H7" s="16">
        <v>430</v>
      </c>
      <c r="I7" s="16">
        <v>544</v>
      </c>
      <c r="J7" s="16">
        <v>1308</v>
      </c>
      <c r="K7" s="16">
        <v>1462</v>
      </c>
      <c r="L7" s="16">
        <v>620</v>
      </c>
      <c r="M7" s="35">
        <v>1807</v>
      </c>
      <c r="N7" s="35">
        <v>2111</v>
      </c>
      <c r="O7" s="35">
        <v>1244</v>
      </c>
    </row>
    <row r="8" spans="1:15" ht="15">
      <c r="A8" s="15" t="s">
        <v>5</v>
      </c>
      <c r="B8" s="16">
        <v>284</v>
      </c>
      <c r="C8" s="16">
        <v>280</v>
      </c>
      <c r="D8" s="16">
        <v>75</v>
      </c>
      <c r="E8" s="16">
        <v>126</v>
      </c>
      <c r="F8" s="16">
        <v>98</v>
      </c>
      <c r="G8" s="16">
        <v>38</v>
      </c>
      <c r="H8" s="16">
        <v>7</v>
      </c>
      <c r="I8" s="16">
        <v>97</v>
      </c>
      <c r="J8" s="16">
        <v>41</v>
      </c>
      <c r="K8" s="16">
        <v>68</v>
      </c>
      <c r="L8" s="16">
        <v>37</v>
      </c>
      <c r="M8" s="34">
        <v>73</v>
      </c>
      <c r="N8" s="34">
        <v>98</v>
      </c>
      <c r="O8" s="34">
        <v>5</v>
      </c>
    </row>
    <row r="9" spans="1:15" ht="15">
      <c r="A9" s="15" t="s">
        <v>7</v>
      </c>
      <c r="B9" s="17" t="s">
        <v>6</v>
      </c>
      <c r="C9" s="17" t="s">
        <v>6</v>
      </c>
      <c r="D9" s="16">
        <v>2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1</v>
      </c>
      <c r="K9" s="16">
        <v>1</v>
      </c>
      <c r="L9" s="16">
        <v>0</v>
      </c>
      <c r="M9" s="34">
        <v>21</v>
      </c>
      <c r="N9" s="34">
        <v>0</v>
      </c>
      <c r="O9" s="34">
        <v>12</v>
      </c>
    </row>
    <row r="10" spans="1:15" ht="15">
      <c r="A10" s="18" t="s">
        <v>8</v>
      </c>
      <c r="B10" s="19">
        <f aca="true" t="shared" si="0" ref="B10:O10">SUM(B5:B9)</f>
        <v>789</v>
      </c>
      <c r="C10" s="19">
        <f t="shared" si="0"/>
        <v>958</v>
      </c>
      <c r="D10" s="19">
        <f t="shared" si="0"/>
        <v>855</v>
      </c>
      <c r="E10" s="19">
        <f t="shared" si="0"/>
        <v>731</v>
      </c>
      <c r="F10" s="19">
        <f t="shared" si="0"/>
        <v>1665</v>
      </c>
      <c r="G10" s="19">
        <f t="shared" si="0"/>
        <v>1218</v>
      </c>
      <c r="H10" s="19">
        <f t="shared" si="0"/>
        <v>861</v>
      </c>
      <c r="I10" s="19">
        <f t="shared" si="0"/>
        <v>1061</v>
      </c>
      <c r="J10" s="19">
        <f t="shared" si="0"/>
        <v>1782</v>
      </c>
      <c r="K10" s="19">
        <f t="shared" si="0"/>
        <v>2017</v>
      </c>
      <c r="L10" s="19">
        <f t="shared" si="0"/>
        <v>904</v>
      </c>
      <c r="M10" s="36">
        <f t="shared" si="0"/>
        <v>2283</v>
      </c>
      <c r="N10" s="36">
        <f t="shared" si="0"/>
        <v>2534</v>
      </c>
      <c r="O10" s="36">
        <f t="shared" si="0"/>
        <v>1559</v>
      </c>
    </row>
    <row r="11" spans="1:15" ht="15">
      <c r="A11" s="15" t="s">
        <v>9</v>
      </c>
      <c r="B11" s="16">
        <v>122</v>
      </c>
      <c r="C11" s="16">
        <v>120</v>
      </c>
      <c r="D11" s="16">
        <v>102</v>
      </c>
      <c r="E11" s="16">
        <v>77</v>
      </c>
      <c r="F11" s="16">
        <v>116</v>
      </c>
      <c r="G11" s="16">
        <v>70</v>
      </c>
      <c r="H11" s="16">
        <v>38</v>
      </c>
      <c r="I11" s="16">
        <v>54</v>
      </c>
      <c r="J11" s="16">
        <v>75</v>
      </c>
      <c r="K11" s="16">
        <v>172</v>
      </c>
      <c r="L11" s="16">
        <v>350</v>
      </c>
      <c r="M11" s="35">
        <v>690</v>
      </c>
      <c r="N11" s="35">
        <v>274</v>
      </c>
      <c r="O11" s="35">
        <v>383</v>
      </c>
    </row>
    <row r="12" spans="1:15" ht="15">
      <c r="A12" s="15" t="s">
        <v>10</v>
      </c>
      <c r="B12" s="16">
        <v>2699</v>
      </c>
      <c r="C12" s="16">
        <v>3927</v>
      </c>
      <c r="D12" s="16">
        <v>3295</v>
      </c>
      <c r="E12" s="16">
        <v>3249</v>
      </c>
      <c r="F12" s="16">
        <v>3733</v>
      </c>
      <c r="G12" s="16">
        <v>3264</v>
      </c>
      <c r="H12" s="16">
        <v>3312</v>
      </c>
      <c r="I12" s="16">
        <v>3886</v>
      </c>
      <c r="J12" s="16">
        <v>4924</v>
      </c>
      <c r="K12" s="16">
        <v>5756</v>
      </c>
      <c r="L12" s="16">
        <v>6794</v>
      </c>
      <c r="M12" s="35">
        <v>7396</v>
      </c>
      <c r="N12" s="35">
        <v>6903</v>
      </c>
      <c r="O12" s="35">
        <v>6850</v>
      </c>
    </row>
    <row r="13" spans="1:15" ht="15">
      <c r="A13" s="15" t="s">
        <v>11</v>
      </c>
      <c r="B13" s="16">
        <v>275</v>
      </c>
      <c r="C13" s="16">
        <v>772</v>
      </c>
      <c r="D13" s="16">
        <v>752</v>
      </c>
      <c r="E13" s="16">
        <v>534</v>
      </c>
      <c r="F13" s="16">
        <v>771</v>
      </c>
      <c r="G13" s="16">
        <v>923</v>
      </c>
      <c r="H13" s="16">
        <v>771</v>
      </c>
      <c r="I13" s="16">
        <v>944</v>
      </c>
      <c r="J13" s="16">
        <v>976</v>
      </c>
      <c r="K13" s="16">
        <v>1044</v>
      </c>
      <c r="L13" s="16">
        <v>1061</v>
      </c>
      <c r="M13" s="35">
        <v>908</v>
      </c>
      <c r="N13" s="35">
        <v>905</v>
      </c>
      <c r="O13" s="35">
        <v>708</v>
      </c>
    </row>
    <row r="14" spans="1:15" ht="15">
      <c r="A14" s="15" t="s">
        <v>12</v>
      </c>
      <c r="B14" s="16">
        <v>334</v>
      </c>
      <c r="C14" s="16">
        <v>169</v>
      </c>
      <c r="D14" s="16">
        <v>211</v>
      </c>
      <c r="E14" s="16">
        <v>237</v>
      </c>
      <c r="F14" s="16">
        <v>224</v>
      </c>
      <c r="G14" s="16">
        <v>212</v>
      </c>
      <c r="H14" s="16">
        <v>70</v>
      </c>
      <c r="I14" s="16">
        <v>86</v>
      </c>
      <c r="J14" s="16">
        <v>84</v>
      </c>
      <c r="K14" s="16">
        <v>296</v>
      </c>
      <c r="L14" s="16">
        <v>937</v>
      </c>
      <c r="M14" s="35">
        <v>2220</v>
      </c>
      <c r="N14" s="35">
        <v>1998</v>
      </c>
      <c r="O14" s="35">
        <v>2534</v>
      </c>
    </row>
    <row r="15" spans="1:15" ht="15">
      <c r="A15" s="15" t="s">
        <v>7</v>
      </c>
      <c r="B15" s="16">
        <v>4</v>
      </c>
      <c r="C15" s="16">
        <v>1</v>
      </c>
      <c r="D15" s="16">
        <v>43</v>
      </c>
      <c r="E15" s="16">
        <v>7</v>
      </c>
      <c r="F15" s="16">
        <v>0</v>
      </c>
      <c r="G15" s="16">
        <v>0</v>
      </c>
      <c r="H15" s="16">
        <v>0</v>
      </c>
      <c r="I15" s="17" t="s">
        <v>6</v>
      </c>
      <c r="J15" s="17" t="s">
        <v>20</v>
      </c>
      <c r="K15" s="32">
        <v>3</v>
      </c>
      <c r="L15" s="32">
        <v>22</v>
      </c>
      <c r="M15" s="37">
        <v>15</v>
      </c>
      <c r="N15" s="37">
        <v>39</v>
      </c>
      <c r="O15" s="37">
        <v>2</v>
      </c>
    </row>
    <row r="16" spans="1:15" ht="15">
      <c r="A16" s="18" t="s">
        <v>13</v>
      </c>
      <c r="B16" s="19">
        <f aca="true" t="shared" si="1" ref="B16:O16">SUM(B11:B15)</f>
        <v>3434</v>
      </c>
      <c r="C16" s="19">
        <f t="shared" si="1"/>
        <v>4989</v>
      </c>
      <c r="D16" s="19">
        <f t="shared" si="1"/>
        <v>4403</v>
      </c>
      <c r="E16" s="19">
        <f t="shared" si="1"/>
        <v>4104</v>
      </c>
      <c r="F16" s="19">
        <f t="shared" si="1"/>
        <v>4844</v>
      </c>
      <c r="G16" s="19">
        <f t="shared" si="1"/>
        <v>4469</v>
      </c>
      <c r="H16" s="19">
        <f t="shared" si="1"/>
        <v>4191</v>
      </c>
      <c r="I16" s="19">
        <f t="shared" si="1"/>
        <v>4970</v>
      </c>
      <c r="J16" s="19">
        <f t="shared" si="1"/>
        <v>6059</v>
      </c>
      <c r="K16" s="31">
        <f t="shared" si="1"/>
        <v>7271</v>
      </c>
      <c r="L16" s="31">
        <f t="shared" si="1"/>
        <v>9164</v>
      </c>
      <c r="M16" s="36">
        <f t="shared" si="1"/>
        <v>11229</v>
      </c>
      <c r="N16" s="36">
        <f t="shared" si="1"/>
        <v>10119</v>
      </c>
      <c r="O16" s="36">
        <f t="shared" si="1"/>
        <v>10477</v>
      </c>
    </row>
    <row r="17" spans="1:15" ht="15">
      <c r="A17" s="15" t="s">
        <v>14</v>
      </c>
      <c r="B17" s="16">
        <f>716+70</f>
        <v>786</v>
      </c>
      <c r="C17" s="16">
        <f>1414+406</f>
        <v>1820</v>
      </c>
      <c r="D17" s="16">
        <f>1275+201</f>
        <v>1476</v>
      </c>
      <c r="E17" s="16">
        <f>893+34</f>
        <v>927</v>
      </c>
      <c r="F17" s="16">
        <f>577+12</f>
        <v>589</v>
      </c>
      <c r="G17" s="16">
        <f>2679+103</f>
        <v>2782</v>
      </c>
      <c r="H17" s="16">
        <v>2426</v>
      </c>
      <c r="I17" s="16">
        <v>1590</v>
      </c>
      <c r="J17" s="16">
        <v>1951</v>
      </c>
      <c r="K17" s="16">
        <v>1611</v>
      </c>
      <c r="L17" s="16">
        <v>1555</v>
      </c>
      <c r="M17" s="35">
        <v>1747</v>
      </c>
      <c r="N17" s="35">
        <v>1461</v>
      </c>
      <c r="O17" s="35">
        <v>1814</v>
      </c>
    </row>
    <row r="18" spans="1:15" ht="15">
      <c r="A18" s="15" t="s">
        <v>15</v>
      </c>
      <c r="B18" s="16">
        <v>4512</v>
      </c>
      <c r="C18" s="16">
        <v>5496</v>
      </c>
      <c r="D18" s="16">
        <v>5974</v>
      </c>
      <c r="E18" s="16">
        <v>4629</v>
      </c>
      <c r="F18" s="16">
        <v>5202</v>
      </c>
      <c r="G18" s="16">
        <v>4228</v>
      </c>
      <c r="H18" s="16">
        <v>6012</v>
      </c>
      <c r="I18" s="16">
        <v>7231</v>
      </c>
      <c r="J18" s="16">
        <v>6685</v>
      </c>
      <c r="K18" s="16">
        <v>5765</v>
      </c>
      <c r="L18" s="16">
        <v>4578</v>
      </c>
      <c r="M18" s="35">
        <v>5773</v>
      </c>
      <c r="N18" s="35">
        <v>6798</v>
      </c>
      <c r="O18" s="35">
        <v>6065</v>
      </c>
    </row>
    <row r="19" spans="1:15" ht="15">
      <c r="A19" s="15" t="s">
        <v>16</v>
      </c>
      <c r="B19" s="16">
        <v>1151</v>
      </c>
      <c r="C19" s="16">
        <v>1284</v>
      </c>
      <c r="D19" s="16">
        <v>1399</v>
      </c>
      <c r="E19" s="16">
        <v>1532</v>
      </c>
      <c r="F19" s="16">
        <v>1592</v>
      </c>
      <c r="G19" s="16">
        <v>939</v>
      </c>
      <c r="H19" s="16">
        <v>1189</v>
      </c>
      <c r="I19" s="16">
        <v>809</v>
      </c>
      <c r="J19" s="16">
        <v>2301</v>
      </c>
      <c r="K19" s="16">
        <v>2320</v>
      </c>
      <c r="L19" s="16">
        <v>3716</v>
      </c>
      <c r="M19" s="35">
        <v>3221</v>
      </c>
      <c r="N19" s="35">
        <v>3386</v>
      </c>
      <c r="O19" s="35">
        <v>2499</v>
      </c>
    </row>
    <row r="20" spans="1:15" ht="15">
      <c r="A20" s="15" t="s">
        <v>17</v>
      </c>
      <c r="B20" s="16">
        <v>128</v>
      </c>
      <c r="C20" s="16">
        <v>446</v>
      </c>
      <c r="D20" s="16">
        <v>622</v>
      </c>
      <c r="E20" s="16">
        <v>749</v>
      </c>
      <c r="F20" s="16">
        <v>1187</v>
      </c>
      <c r="G20" s="16">
        <v>996</v>
      </c>
      <c r="H20" s="16">
        <v>2295</v>
      </c>
      <c r="I20" s="16">
        <v>3737</v>
      </c>
      <c r="J20" s="16">
        <v>3098</v>
      </c>
      <c r="K20" s="16">
        <v>2841</v>
      </c>
      <c r="L20" s="16">
        <v>2744</v>
      </c>
      <c r="M20" s="35">
        <v>3164</v>
      </c>
      <c r="N20" s="35">
        <v>2853</v>
      </c>
      <c r="O20" s="35">
        <v>2910</v>
      </c>
    </row>
    <row r="21" spans="1:15" ht="15">
      <c r="A21" s="18" t="s">
        <v>7</v>
      </c>
      <c r="B21" s="19">
        <f>185-128</f>
        <v>57</v>
      </c>
      <c r="C21" s="19">
        <f>861-446</f>
        <v>415</v>
      </c>
      <c r="D21" s="19">
        <f>1334-622</f>
        <v>712</v>
      </c>
      <c r="E21" s="19">
        <f>1203-749</f>
        <v>454</v>
      </c>
      <c r="F21" s="31">
        <v>479</v>
      </c>
      <c r="G21" s="19">
        <f>1480-996</f>
        <v>484</v>
      </c>
      <c r="H21" s="19">
        <v>330</v>
      </c>
      <c r="I21" s="19">
        <v>726</v>
      </c>
      <c r="J21" s="19">
        <v>479</v>
      </c>
      <c r="K21" s="31">
        <v>897</v>
      </c>
      <c r="L21" s="31">
        <v>690</v>
      </c>
      <c r="M21" s="35">
        <v>1584</v>
      </c>
      <c r="N21" s="35">
        <v>1174</v>
      </c>
      <c r="O21" s="35">
        <v>1007</v>
      </c>
    </row>
    <row r="22" spans="1:15" ht="15">
      <c r="A22" s="18" t="s">
        <v>18</v>
      </c>
      <c r="B22" s="19">
        <f aca="true" t="shared" si="2" ref="B22:O22">SUM(B17:B21)+B10+B16</f>
        <v>10857</v>
      </c>
      <c r="C22" s="19">
        <f t="shared" si="2"/>
        <v>15408</v>
      </c>
      <c r="D22" s="19">
        <f t="shared" si="2"/>
        <v>15441</v>
      </c>
      <c r="E22" s="19">
        <f t="shared" si="2"/>
        <v>13126</v>
      </c>
      <c r="F22" s="19">
        <f t="shared" si="2"/>
        <v>15558</v>
      </c>
      <c r="G22" s="19">
        <f t="shared" si="2"/>
        <v>15116</v>
      </c>
      <c r="H22" s="19">
        <f t="shared" si="2"/>
        <v>17304</v>
      </c>
      <c r="I22" s="19">
        <f t="shared" si="2"/>
        <v>20124</v>
      </c>
      <c r="J22" s="19">
        <f t="shared" si="2"/>
        <v>22355</v>
      </c>
      <c r="K22" s="19">
        <f t="shared" si="2"/>
        <v>22722</v>
      </c>
      <c r="L22" s="19">
        <f t="shared" si="2"/>
        <v>23351</v>
      </c>
      <c r="M22" s="38">
        <f t="shared" si="2"/>
        <v>29001</v>
      </c>
      <c r="N22" s="38">
        <f t="shared" si="2"/>
        <v>28325</v>
      </c>
      <c r="O22" s="38">
        <f t="shared" si="2"/>
        <v>26331</v>
      </c>
    </row>
    <row r="23" spans="1:15" ht="15">
      <c r="A23" s="20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21"/>
      <c r="L23" s="22"/>
      <c r="M23" s="22"/>
      <c r="N23" s="22"/>
      <c r="O23" s="23"/>
    </row>
    <row r="24" spans="1:15" ht="15">
      <c r="A24" s="2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26"/>
      <c r="O24" s="27"/>
    </row>
    <row r="40" ht="15">
      <c r="A40" s="2"/>
    </row>
    <row r="42" ht="15">
      <c r="A42" s="2"/>
    </row>
    <row r="44" ht="15">
      <c r="A44" s="2"/>
    </row>
    <row r="46" spans="1:18" ht="15">
      <c r="A46" s="2"/>
      <c r="B46" s="29"/>
      <c r="C46" s="30"/>
      <c r="D46" s="29"/>
      <c r="E46" s="30"/>
      <c r="F46" s="29"/>
      <c r="G46" s="30"/>
      <c r="H46" s="29"/>
      <c r="I46" s="30"/>
      <c r="J46" s="30"/>
      <c r="K46" s="29"/>
      <c r="L46" s="30"/>
      <c r="M46" s="29"/>
      <c r="N46" s="30"/>
      <c r="O46" s="29"/>
      <c r="P46" s="30"/>
      <c r="Q46" s="29"/>
      <c r="R46" s="30"/>
    </row>
    <row r="47" spans="1:18" ht="15">
      <c r="A47" s="2"/>
      <c r="B47" s="29"/>
      <c r="C47" s="30"/>
      <c r="D47" s="29"/>
      <c r="E47" s="30"/>
      <c r="F47" s="29"/>
      <c r="G47" s="30"/>
      <c r="H47" s="29"/>
      <c r="I47" s="30"/>
      <c r="J47" s="30"/>
      <c r="K47" s="29"/>
      <c r="L47" s="30"/>
      <c r="M47" s="29"/>
      <c r="N47" s="30"/>
      <c r="O47" s="29"/>
      <c r="P47" s="30"/>
      <c r="Q47" s="29"/>
      <c r="R47" s="30"/>
    </row>
    <row r="48" spans="1:18" ht="15">
      <c r="A48" s="2"/>
      <c r="B48" s="29"/>
      <c r="C48" s="30"/>
      <c r="D48" s="29"/>
      <c r="E48" s="30"/>
      <c r="F48" s="29"/>
      <c r="G48" s="30"/>
      <c r="H48" s="29"/>
      <c r="I48" s="30"/>
      <c r="J48" s="30"/>
      <c r="K48" s="29"/>
      <c r="L48" s="30"/>
      <c r="M48" s="29"/>
      <c r="N48" s="30"/>
      <c r="O48" s="29"/>
      <c r="P48" s="30"/>
      <c r="Q48" s="29"/>
      <c r="R48" s="30"/>
    </row>
    <row r="49" spans="1:18" ht="15">
      <c r="A49" s="2"/>
      <c r="B49" s="29"/>
      <c r="C49" s="30"/>
      <c r="D49" s="29"/>
      <c r="E49" s="30"/>
      <c r="F49" s="29"/>
      <c r="G49" s="30"/>
      <c r="H49" s="29"/>
      <c r="I49" s="30"/>
      <c r="J49" s="30"/>
      <c r="K49" s="29"/>
      <c r="L49" s="30"/>
      <c r="M49" s="29"/>
      <c r="N49" s="30"/>
      <c r="O49" s="29"/>
      <c r="P49" s="30"/>
      <c r="Q49" s="29"/>
      <c r="R49" s="30"/>
    </row>
    <row r="50" spans="1:18" ht="15">
      <c r="A50" s="2"/>
      <c r="B50" s="29"/>
      <c r="C50" s="30"/>
      <c r="D50" s="29"/>
      <c r="E50" s="30"/>
      <c r="F50" s="29"/>
      <c r="G50" s="30"/>
      <c r="H50" s="29"/>
      <c r="I50" s="30"/>
      <c r="J50" s="30"/>
      <c r="K50" s="29"/>
      <c r="L50" s="30"/>
      <c r="M50" s="29"/>
      <c r="N50" s="30"/>
      <c r="O50" s="29"/>
      <c r="P50" s="30"/>
      <c r="Q50" s="29"/>
      <c r="R50" s="30"/>
    </row>
    <row r="51" spans="1:18" ht="15">
      <c r="A51" s="2"/>
      <c r="B51" s="29"/>
      <c r="C51" s="30"/>
      <c r="D51" s="29"/>
      <c r="E51" s="30"/>
      <c r="F51" s="29"/>
      <c r="G51" s="30"/>
      <c r="H51" s="29"/>
      <c r="I51" s="30"/>
      <c r="J51" s="30"/>
      <c r="K51" s="29"/>
      <c r="L51" s="30"/>
      <c r="M51" s="29"/>
      <c r="N51" s="30"/>
      <c r="O51" s="29"/>
      <c r="P51" s="30"/>
      <c r="Q51" s="29"/>
      <c r="R51" s="30"/>
    </row>
    <row r="52" spans="1:18" ht="15">
      <c r="A52" s="2"/>
      <c r="B52" s="29"/>
      <c r="C52" s="30"/>
      <c r="D52" s="29"/>
      <c r="E52" s="30"/>
      <c r="F52" s="29"/>
      <c r="G52" s="30"/>
      <c r="H52" s="29"/>
      <c r="I52" s="30"/>
      <c r="J52" s="30"/>
      <c r="K52" s="29"/>
      <c r="L52" s="30"/>
      <c r="M52" s="29"/>
      <c r="N52" s="30"/>
      <c r="O52" s="29"/>
      <c r="P52" s="30"/>
      <c r="Q52" s="29"/>
      <c r="R52" s="30"/>
    </row>
    <row r="53" spans="1:18" ht="15">
      <c r="A53" s="2"/>
      <c r="B53" s="29"/>
      <c r="C53" s="30"/>
      <c r="D53" s="29"/>
      <c r="E53" s="30"/>
      <c r="F53" s="29"/>
      <c r="G53" s="30"/>
      <c r="H53" s="29"/>
      <c r="I53" s="30"/>
      <c r="J53" s="30"/>
      <c r="K53" s="29"/>
      <c r="L53" s="30"/>
      <c r="M53" s="29"/>
      <c r="N53" s="30"/>
      <c r="O53" s="29"/>
      <c r="P53" s="30"/>
      <c r="Q53" s="29"/>
      <c r="R53" s="30"/>
    </row>
    <row r="54" spans="1:18" ht="15">
      <c r="A54" s="2"/>
      <c r="B54" s="29"/>
      <c r="C54" s="30"/>
      <c r="D54" s="29"/>
      <c r="E54" s="30"/>
      <c r="F54" s="29"/>
      <c r="G54" s="30"/>
      <c r="H54" s="29"/>
      <c r="I54" s="30"/>
      <c r="J54" s="30"/>
      <c r="K54" s="29"/>
      <c r="L54" s="30"/>
      <c r="M54" s="29"/>
      <c r="N54" s="30"/>
      <c r="O54" s="29"/>
      <c r="P54" s="30"/>
      <c r="Q54" s="29"/>
      <c r="R54" s="30"/>
    </row>
    <row r="55" spans="1:18" ht="15">
      <c r="A55" s="2"/>
      <c r="B55" s="29"/>
      <c r="C55" s="30"/>
      <c r="D55" s="29"/>
      <c r="E55" s="30"/>
      <c r="F55" s="29"/>
      <c r="G55" s="30"/>
      <c r="H55" s="29"/>
      <c r="I55" s="30"/>
      <c r="J55" s="30"/>
      <c r="K55" s="29"/>
      <c r="L55" s="30"/>
      <c r="M55" s="29"/>
      <c r="N55" s="30"/>
      <c r="O55" s="29"/>
      <c r="P55" s="30"/>
      <c r="Q55" s="29"/>
      <c r="R55" s="30"/>
    </row>
    <row r="56" spans="1:18" ht="15">
      <c r="A56" s="2"/>
      <c r="B56" s="29"/>
      <c r="C56" s="30"/>
      <c r="D56" s="29"/>
      <c r="E56" s="30"/>
      <c r="F56" s="29"/>
      <c r="G56" s="30"/>
      <c r="H56" s="29"/>
      <c r="I56" s="30"/>
      <c r="J56" s="30"/>
      <c r="K56" s="29"/>
      <c r="L56" s="30"/>
      <c r="M56" s="29"/>
      <c r="N56" s="30"/>
      <c r="O56" s="29"/>
      <c r="P56" s="30"/>
      <c r="Q56" s="29"/>
      <c r="R56" s="30"/>
    </row>
    <row r="57" spans="1:18" ht="15">
      <c r="A57" s="2"/>
      <c r="B57" s="29"/>
      <c r="C57" s="30"/>
      <c r="D57" s="29"/>
      <c r="E57" s="30"/>
      <c r="F57" s="29"/>
      <c r="G57" s="30"/>
      <c r="H57" s="29"/>
      <c r="I57" s="30"/>
      <c r="J57" s="30"/>
      <c r="K57" s="29"/>
      <c r="L57" s="30"/>
      <c r="M57" s="29"/>
      <c r="N57" s="30"/>
      <c r="O57" s="29"/>
      <c r="P57" s="30"/>
      <c r="Q57" s="29"/>
      <c r="R57" s="30"/>
    </row>
    <row r="58" spans="1:18" ht="15">
      <c r="A58" s="2"/>
      <c r="B58" s="29"/>
      <c r="C58" s="30"/>
      <c r="D58" s="29"/>
      <c r="E58" s="30"/>
      <c r="F58" s="29"/>
      <c r="G58" s="30"/>
      <c r="H58" s="29"/>
      <c r="I58" s="30"/>
      <c r="J58" s="30"/>
      <c r="K58" s="29"/>
      <c r="L58" s="30"/>
      <c r="M58" s="29"/>
      <c r="N58" s="30"/>
      <c r="O58" s="29"/>
      <c r="P58" s="30"/>
      <c r="Q58" s="29"/>
      <c r="R58" s="30"/>
    </row>
    <row r="59" spans="1:18" ht="15">
      <c r="A59" s="2"/>
      <c r="B59" s="29"/>
      <c r="C59" s="30"/>
      <c r="D59" s="29"/>
      <c r="E59" s="30"/>
      <c r="F59" s="29"/>
      <c r="G59" s="30"/>
      <c r="H59" s="29"/>
      <c r="I59" s="30"/>
      <c r="J59" s="30"/>
      <c r="K59" s="29"/>
      <c r="L59" s="30"/>
      <c r="M59" s="29"/>
      <c r="N59" s="30"/>
      <c r="O59" s="29"/>
      <c r="P59" s="30"/>
      <c r="Q59" s="29"/>
      <c r="R59" s="30"/>
    </row>
    <row r="60" spans="1:18" ht="15">
      <c r="A60" s="2"/>
      <c r="B60" s="29"/>
      <c r="C60" s="30"/>
      <c r="D60" s="29"/>
      <c r="E60" s="30"/>
      <c r="F60" s="29"/>
      <c r="G60" s="30"/>
      <c r="H60" s="29"/>
      <c r="I60" s="30"/>
      <c r="J60" s="30"/>
      <c r="K60" s="29"/>
      <c r="L60" s="30"/>
      <c r="M60" s="29"/>
      <c r="N60" s="30"/>
      <c r="O60" s="29"/>
      <c r="P60" s="30"/>
      <c r="Q60" s="29"/>
      <c r="R60" s="30"/>
    </row>
    <row r="61" spans="1:18" ht="15">
      <c r="A61" s="2"/>
      <c r="B61" s="29"/>
      <c r="C61" s="30"/>
      <c r="D61" s="29"/>
      <c r="E61" s="30"/>
      <c r="F61" s="29"/>
      <c r="G61" s="30"/>
      <c r="H61" s="29"/>
      <c r="I61" s="30"/>
      <c r="J61" s="30"/>
      <c r="K61" s="29"/>
      <c r="L61" s="30"/>
      <c r="M61" s="29"/>
      <c r="N61" s="30"/>
      <c r="O61" s="29"/>
      <c r="P61" s="30"/>
      <c r="Q61" s="29"/>
      <c r="R61" s="30"/>
    </row>
    <row r="62" spans="1:18" ht="15">
      <c r="A62" s="2"/>
      <c r="B62" s="29"/>
      <c r="C62" s="30"/>
      <c r="D62" s="29"/>
      <c r="E62" s="30"/>
      <c r="F62" s="29"/>
      <c r="G62" s="30"/>
      <c r="H62" s="29"/>
      <c r="I62" s="30"/>
      <c r="J62" s="30"/>
      <c r="K62" s="29"/>
      <c r="L62" s="30"/>
      <c r="M62" s="29"/>
      <c r="N62" s="30"/>
      <c r="O62" s="29"/>
      <c r="P62" s="30"/>
      <c r="Q62" s="29"/>
      <c r="R62" s="30"/>
    </row>
    <row r="63" spans="1:18" ht="15">
      <c r="A63" s="2"/>
      <c r="B63" s="29"/>
      <c r="C63" s="30"/>
      <c r="D63" s="29"/>
      <c r="E63" s="30"/>
      <c r="F63" s="29"/>
      <c r="G63" s="30"/>
      <c r="H63" s="29"/>
      <c r="I63" s="30"/>
      <c r="J63" s="30"/>
      <c r="K63" s="29"/>
      <c r="L63" s="30"/>
      <c r="M63" s="29"/>
      <c r="N63" s="30"/>
      <c r="O63" s="29"/>
      <c r="P63" s="30"/>
      <c r="Q63" s="29"/>
      <c r="R63" s="30"/>
    </row>
    <row r="64" spans="1:18" ht="15">
      <c r="A64" s="2"/>
      <c r="B64" s="29"/>
      <c r="C64" s="30"/>
      <c r="D64" s="29"/>
      <c r="E64" s="30"/>
      <c r="F64" s="29"/>
      <c r="G64" s="30"/>
      <c r="H64" s="29"/>
      <c r="I64" s="30"/>
      <c r="J64" s="30"/>
      <c r="K64" s="29"/>
      <c r="L64" s="30"/>
      <c r="M64" s="29"/>
      <c r="N64" s="30"/>
      <c r="O64" s="29"/>
      <c r="P64" s="30"/>
      <c r="Q64" s="29"/>
      <c r="R64" s="30"/>
    </row>
    <row r="65" spans="1:18" ht="15">
      <c r="A65" s="2"/>
      <c r="B65" s="29"/>
      <c r="C65" s="30"/>
      <c r="D65" s="29"/>
      <c r="E65" s="30"/>
      <c r="F65" s="29"/>
      <c r="G65" s="30"/>
      <c r="H65" s="29"/>
      <c r="I65" s="30"/>
      <c r="J65" s="30"/>
      <c r="K65" s="29"/>
      <c r="L65" s="30"/>
      <c r="M65" s="29"/>
      <c r="N65" s="30"/>
      <c r="O65" s="29"/>
      <c r="P65" s="30"/>
      <c r="Q65" s="29"/>
      <c r="R65" s="30"/>
    </row>
    <row r="66" spans="1:18" ht="15">
      <c r="A66" s="2"/>
      <c r="B66" s="29"/>
      <c r="C66" s="30"/>
      <c r="D66" s="29"/>
      <c r="E66" s="30"/>
      <c r="F66" s="29"/>
      <c r="G66" s="30"/>
      <c r="H66" s="29"/>
      <c r="I66" s="30"/>
      <c r="J66" s="30"/>
      <c r="K66" s="29"/>
      <c r="L66" s="30"/>
      <c r="M66" s="29"/>
      <c r="N66" s="30"/>
      <c r="O66" s="29"/>
      <c r="P66" s="30"/>
      <c r="Q66" s="29"/>
      <c r="R66" s="30"/>
    </row>
    <row r="67" spans="1:18" ht="15">
      <c r="A67" s="2"/>
      <c r="B67" s="29"/>
      <c r="C67" s="30"/>
      <c r="D67" s="29"/>
      <c r="E67" s="30"/>
      <c r="F67" s="29"/>
      <c r="G67" s="30"/>
      <c r="H67" s="29"/>
      <c r="I67" s="30"/>
      <c r="J67" s="30"/>
      <c r="K67" s="29"/>
      <c r="L67" s="30"/>
      <c r="M67" s="29"/>
      <c r="N67" s="30"/>
      <c r="O67" s="29"/>
      <c r="P67" s="30"/>
      <c r="Q67" s="29"/>
      <c r="R67" s="30"/>
    </row>
    <row r="68" spans="1:18" ht="15">
      <c r="A68" s="2"/>
      <c r="B68" s="29"/>
      <c r="C68" s="30"/>
      <c r="D68" s="29"/>
      <c r="E68" s="30"/>
      <c r="F68" s="29"/>
      <c r="G68" s="30"/>
      <c r="H68" s="29"/>
      <c r="I68" s="30"/>
      <c r="J68" s="30"/>
      <c r="K68" s="29"/>
      <c r="L68" s="30"/>
      <c r="M68" s="29"/>
      <c r="N68" s="30"/>
      <c r="O68" s="29"/>
      <c r="P68" s="30"/>
      <c r="Q68" s="29"/>
      <c r="R68" s="30"/>
    </row>
    <row r="69" spans="1:18" ht="15">
      <c r="A69" s="2"/>
      <c r="B69" s="29"/>
      <c r="C69" s="30"/>
      <c r="D69" s="29"/>
      <c r="E69" s="30"/>
      <c r="F69" s="29"/>
      <c r="G69" s="30"/>
      <c r="H69" s="29"/>
      <c r="I69" s="30"/>
      <c r="J69" s="30"/>
      <c r="K69" s="29"/>
      <c r="L69" s="30"/>
      <c r="M69" s="29"/>
      <c r="N69" s="30"/>
      <c r="O69" s="29"/>
      <c r="P69" s="30"/>
      <c r="Q69" s="29"/>
      <c r="R69" s="30"/>
    </row>
    <row r="70" spans="1:18" ht="15">
      <c r="A70" s="2"/>
      <c r="B70" s="29"/>
      <c r="C70" s="30"/>
      <c r="D70" s="29"/>
      <c r="E70" s="30"/>
      <c r="F70" s="29"/>
      <c r="G70" s="30"/>
      <c r="H70" s="29"/>
      <c r="I70" s="30"/>
      <c r="J70" s="30"/>
      <c r="K70" s="29"/>
      <c r="L70" s="30"/>
      <c r="M70" s="29"/>
      <c r="N70" s="30"/>
      <c r="O70" s="29"/>
      <c r="P70" s="30"/>
      <c r="Q70" s="29"/>
      <c r="R70" s="30"/>
    </row>
    <row r="71" spans="1:18" ht="15">
      <c r="A71" s="2"/>
      <c r="B71" s="29"/>
      <c r="C71" s="30"/>
      <c r="D71" s="29"/>
      <c r="E71" s="30"/>
      <c r="F71" s="29"/>
      <c r="G71" s="30"/>
      <c r="H71" s="29"/>
      <c r="I71" s="30"/>
      <c r="J71" s="30"/>
      <c r="K71" s="29"/>
      <c r="L71" s="30"/>
      <c r="M71" s="29"/>
      <c r="N71" s="30"/>
      <c r="O71" s="29"/>
      <c r="P71" s="30"/>
      <c r="Q71" s="29"/>
      <c r="R71" s="30"/>
    </row>
    <row r="72" ht="15">
      <c r="A72" s="2"/>
    </row>
    <row r="73" spans="1:18" ht="15">
      <c r="A73" s="2"/>
      <c r="B73" s="29"/>
      <c r="C73" s="30"/>
      <c r="D73" s="29"/>
      <c r="E73" s="30"/>
      <c r="F73" s="29"/>
      <c r="G73" s="30"/>
      <c r="H73" s="29"/>
      <c r="I73" s="30"/>
      <c r="J73" s="30"/>
      <c r="K73" s="29"/>
      <c r="L73" s="30"/>
      <c r="M73" s="29"/>
      <c r="N73" s="30"/>
      <c r="O73" s="29"/>
      <c r="P73" s="30"/>
      <c r="Q73" s="29"/>
      <c r="R73" s="30"/>
    </row>
  </sheetData>
  <sheetProtection/>
  <mergeCells count="1">
    <mergeCell ref="B4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75"/>
  <sheetViews>
    <sheetView showGridLines="0" tabSelected="1" defaultGridColor="0" zoomScalePageLayoutView="0" colorId="22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"/>
    </sheetView>
  </sheetViews>
  <sheetFormatPr defaultColWidth="9.88671875" defaultRowHeight="15"/>
  <cols>
    <col min="1" max="1" width="29.4453125" style="39" customWidth="1"/>
    <col min="2" max="2" width="7.6640625" style="39" customWidth="1"/>
    <col min="3" max="5" width="7.88671875" style="39" customWidth="1"/>
    <col min="6" max="6" width="5.5546875" style="39" customWidth="1"/>
    <col min="7" max="9" width="7.88671875" style="39" customWidth="1"/>
    <col min="10" max="10" width="7.5546875" style="39" customWidth="1"/>
    <col min="11" max="11" width="7.3359375" style="39" customWidth="1"/>
    <col min="12" max="12" width="7.21484375" style="39" customWidth="1"/>
    <col min="13" max="14" width="7.3359375" style="39" customWidth="1"/>
    <col min="15" max="31" width="7.21484375" style="39" customWidth="1"/>
    <col min="32" max="16384" width="9.88671875" style="39" customWidth="1"/>
  </cols>
  <sheetData>
    <row r="1" spans="1:11" ht="14.25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4.25" customHeight="1">
      <c r="A3" s="78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4.2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35" ht="15">
      <c r="A5" s="47" t="s">
        <v>1</v>
      </c>
      <c r="B5" s="87">
        <v>1990</v>
      </c>
      <c r="C5" s="87">
        <v>1991</v>
      </c>
      <c r="D5" s="88">
        <v>1992</v>
      </c>
      <c r="E5" s="89">
        <v>1993</v>
      </c>
      <c r="F5" s="87">
        <v>1994</v>
      </c>
      <c r="G5" s="87">
        <v>1995</v>
      </c>
      <c r="H5" s="87">
        <v>1996</v>
      </c>
      <c r="I5" s="90">
        <v>1997</v>
      </c>
      <c r="J5" s="87">
        <v>1998</v>
      </c>
      <c r="K5" s="87">
        <v>1999</v>
      </c>
      <c r="L5" s="91">
        <v>2000</v>
      </c>
      <c r="M5" s="92">
        <v>2001</v>
      </c>
      <c r="N5" s="93">
        <v>2002</v>
      </c>
      <c r="O5" s="93">
        <v>2003</v>
      </c>
      <c r="P5" s="94">
        <v>2004</v>
      </c>
      <c r="Q5" s="94">
        <v>2005</v>
      </c>
      <c r="R5" s="94">
        <v>2006</v>
      </c>
      <c r="S5" s="94">
        <v>2007</v>
      </c>
      <c r="T5" s="94">
        <v>2008</v>
      </c>
      <c r="U5" s="94">
        <v>2009</v>
      </c>
      <c r="V5" s="94">
        <v>2010</v>
      </c>
      <c r="W5" s="94">
        <v>2011</v>
      </c>
      <c r="X5" s="94">
        <v>2012</v>
      </c>
      <c r="Y5" s="94">
        <v>2013</v>
      </c>
      <c r="Z5" s="94">
        <v>2014</v>
      </c>
      <c r="AA5" s="100">
        <v>2015</v>
      </c>
      <c r="AB5" s="100">
        <v>2016</v>
      </c>
      <c r="AC5" s="100">
        <v>2017</v>
      </c>
      <c r="AD5" s="93">
        <v>2018</v>
      </c>
      <c r="AE5" s="93">
        <v>2019</v>
      </c>
      <c r="AF5" s="97">
        <v>2020</v>
      </c>
      <c r="AG5" s="97">
        <v>2021</v>
      </c>
      <c r="AH5" s="96"/>
      <c r="AI5" s="96"/>
    </row>
    <row r="6" spans="1:33" ht="15">
      <c r="A6" s="48"/>
      <c r="B6" s="111" t="s">
        <v>22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3"/>
    </row>
    <row r="7" spans="1:33" ht="15">
      <c r="A7" s="50" t="s">
        <v>2</v>
      </c>
      <c r="B7" s="51">
        <v>77</v>
      </c>
      <c r="C7" s="51">
        <v>202</v>
      </c>
      <c r="D7" s="51">
        <v>225</v>
      </c>
      <c r="E7" s="51">
        <v>216</v>
      </c>
      <c r="F7" s="51">
        <v>454</v>
      </c>
      <c r="G7" s="51">
        <v>389</v>
      </c>
      <c r="H7" s="51">
        <v>286</v>
      </c>
      <c r="I7" s="51">
        <v>323</v>
      </c>
      <c r="J7" s="51">
        <v>375</v>
      </c>
      <c r="K7" s="51">
        <v>441</v>
      </c>
      <c r="L7" s="51">
        <v>195</v>
      </c>
      <c r="M7" s="51">
        <v>327</v>
      </c>
      <c r="N7" s="33">
        <v>306</v>
      </c>
      <c r="O7" s="81" t="s">
        <v>25</v>
      </c>
      <c r="P7" s="62">
        <v>76</v>
      </c>
      <c r="Q7" s="62">
        <v>50</v>
      </c>
      <c r="R7" s="62">
        <v>35</v>
      </c>
      <c r="S7" s="62">
        <v>57</v>
      </c>
      <c r="T7" s="62">
        <v>17</v>
      </c>
      <c r="U7" s="62">
        <v>43</v>
      </c>
      <c r="V7" s="62">
        <v>46</v>
      </c>
      <c r="W7" s="62">
        <f>103+44+106</f>
        <v>253</v>
      </c>
      <c r="X7" s="62">
        <f>66+89+250</f>
        <v>405</v>
      </c>
      <c r="Y7" s="62">
        <f>83+69+29+160</f>
        <v>341</v>
      </c>
      <c r="Z7" s="62">
        <f>87+117+26+165</f>
        <v>395</v>
      </c>
      <c r="AA7" s="62">
        <f>77+87+38+93</f>
        <v>295</v>
      </c>
      <c r="AB7" s="62">
        <v>354</v>
      </c>
      <c r="AC7" s="62">
        <v>403</v>
      </c>
      <c r="AD7" s="62">
        <v>221</v>
      </c>
      <c r="AE7" s="99">
        <v>276</v>
      </c>
      <c r="AF7" s="99">
        <f>188+40</f>
        <v>228</v>
      </c>
      <c r="AG7" s="99">
        <v>217</v>
      </c>
    </row>
    <row r="8" spans="1:33" ht="15">
      <c r="A8" s="50" t="s">
        <v>3</v>
      </c>
      <c r="B8" s="51">
        <v>363</v>
      </c>
      <c r="C8" s="51">
        <v>418</v>
      </c>
      <c r="D8" s="51">
        <v>411</v>
      </c>
      <c r="E8" s="51">
        <v>307</v>
      </c>
      <c r="F8" s="51">
        <v>290</v>
      </c>
      <c r="G8" s="51">
        <v>365</v>
      </c>
      <c r="H8" s="51">
        <v>137</v>
      </c>
      <c r="I8" s="51">
        <v>97</v>
      </c>
      <c r="J8" s="51">
        <v>57</v>
      </c>
      <c r="K8" s="51">
        <v>45</v>
      </c>
      <c r="L8" s="51">
        <v>52</v>
      </c>
      <c r="M8" s="51">
        <v>55</v>
      </c>
      <c r="N8" s="34">
        <v>19</v>
      </c>
      <c r="O8" s="60" t="s">
        <v>25</v>
      </c>
      <c r="P8" s="63">
        <v>0</v>
      </c>
      <c r="Q8" s="60" t="s">
        <v>29</v>
      </c>
      <c r="R8" s="60" t="s">
        <v>29</v>
      </c>
      <c r="S8" s="60" t="s">
        <v>29</v>
      </c>
      <c r="T8" s="63">
        <v>6</v>
      </c>
      <c r="U8" s="63">
        <v>33</v>
      </c>
      <c r="V8" s="63">
        <v>0</v>
      </c>
      <c r="W8" s="37">
        <v>3</v>
      </c>
      <c r="X8" s="37">
        <v>1</v>
      </c>
      <c r="Y8" s="37">
        <v>1</v>
      </c>
      <c r="Z8" s="37">
        <v>1</v>
      </c>
      <c r="AA8" s="37">
        <v>0</v>
      </c>
      <c r="AB8" s="37">
        <v>0</v>
      </c>
      <c r="AC8" s="37">
        <v>1</v>
      </c>
      <c r="AD8" s="37">
        <v>1</v>
      </c>
      <c r="AE8" s="37">
        <v>1</v>
      </c>
      <c r="AF8" s="83">
        <v>5</v>
      </c>
      <c r="AG8" s="83">
        <v>2</v>
      </c>
    </row>
    <row r="9" spans="1:33" ht="15">
      <c r="A9" s="50" t="s">
        <v>4</v>
      </c>
      <c r="B9" s="51">
        <v>65</v>
      </c>
      <c r="C9" s="51">
        <v>58</v>
      </c>
      <c r="D9" s="51">
        <v>142</v>
      </c>
      <c r="E9" s="51">
        <v>82</v>
      </c>
      <c r="F9" s="51">
        <v>823</v>
      </c>
      <c r="G9" s="51">
        <v>426</v>
      </c>
      <c r="H9" s="51">
        <v>430</v>
      </c>
      <c r="I9" s="51">
        <v>544</v>
      </c>
      <c r="J9" s="51">
        <v>1308</v>
      </c>
      <c r="K9" s="51">
        <v>1462</v>
      </c>
      <c r="L9" s="51">
        <v>620</v>
      </c>
      <c r="M9" s="51">
        <v>1807</v>
      </c>
      <c r="N9" s="35">
        <v>2111</v>
      </c>
      <c r="O9" s="61" t="s">
        <v>25</v>
      </c>
      <c r="P9" s="37">
        <v>64</v>
      </c>
      <c r="Q9" s="37">
        <v>14</v>
      </c>
      <c r="R9" s="37">
        <v>50</v>
      </c>
      <c r="S9" s="37">
        <v>50</v>
      </c>
      <c r="T9" s="37">
        <v>57</v>
      </c>
      <c r="U9" s="37">
        <v>64</v>
      </c>
      <c r="V9" s="37">
        <v>195</v>
      </c>
      <c r="W9" s="37">
        <f>73+5+119+237</f>
        <v>434</v>
      </c>
      <c r="X9" s="37">
        <f>15+64+31+723</f>
        <v>833</v>
      </c>
      <c r="Y9" s="37">
        <f>15+202+6+18+1013</f>
        <v>1254</v>
      </c>
      <c r="Z9" s="37">
        <f>11+214+12+92+6887</f>
        <v>7216</v>
      </c>
      <c r="AA9" s="37">
        <f>9+84+16+182+788</f>
        <v>1079</v>
      </c>
      <c r="AB9" s="37">
        <v>1021</v>
      </c>
      <c r="AC9" s="83">
        <v>1009</v>
      </c>
      <c r="AD9" s="37">
        <v>1562</v>
      </c>
      <c r="AE9" s="83">
        <v>1044</v>
      </c>
      <c r="AF9" s="83">
        <v>511</v>
      </c>
      <c r="AG9" s="83">
        <v>764</v>
      </c>
    </row>
    <row r="10" spans="1:33" ht="15">
      <c r="A10" s="50" t="s">
        <v>35</v>
      </c>
      <c r="B10" s="51">
        <v>284</v>
      </c>
      <c r="C10" s="51">
        <v>280</v>
      </c>
      <c r="D10" s="51">
        <v>75</v>
      </c>
      <c r="E10" s="51">
        <v>126</v>
      </c>
      <c r="F10" s="51">
        <v>98</v>
      </c>
      <c r="G10" s="51">
        <v>38</v>
      </c>
      <c r="H10" s="51">
        <v>7</v>
      </c>
      <c r="I10" s="51">
        <v>97</v>
      </c>
      <c r="J10" s="51">
        <v>41</v>
      </c>
      <c r="K10" s="51">
        <v>68</v>
      </c>
      <c r="L10" s="51">
        <v>37</v>
      </c>
      <c r="M10" s="51">
        <v>73</v>
      </c>
      <c r="N10" s="34">
        <v>98</v>
      </c>
      <c r="O10" s="60" t="s">
        <v>25</v>
      </c>
      <c r="P10" s="63">
        <v>4</v>
      </c>
      <c r="Q10" s="60" t="s">
        <v>29</v>
      </c>
      <c r="R10" s="63">
        <v>0</v>
      </c>
      <c r="S10" s="63">
        <v>1</v>
      </c>
      <c r="T10" s="63">
        <v>8</v>
      </c>
      <c r="U10" s="63">
        <v>65</v>
      </c>
      <c r="V10" s="63">
        <v>1</v>
      </c>
      <c r="W10" s="37">
        <v>52</v>
      </c>
      <c r="X10" s="37">
        <f>496+98</f>
        <v>594</v>
      </c>
      <c r="Y10" s="37">
        <f>1014+327</f>
        <v>1341</v>
      </c>
      <c r="Z10" s="37">
        <f>5+991+89+1</f>
        <v>1086</v>
      </c>
      <c r="AA10" s="37">
        <f>2+784+183+1</f>
        <v>970</v>
      </c>
      <c r="AB10" s="37">
        <v>1077</v>
      </c>
      <c r="AC10" s="37">
        <v>1254</v>
      </c>
      <c r="AD10" s="37">
        <v>1001</v>
      </c>
      <c r="AE10" s="83">
        <v>1165</v>
      </c>
      <c r="AF10" s="102">
        <v>773</v>
      </c>
      <c r="AG10" s="102">
        <v>34</v>
      </c>
    </row>
    <row r="11" spans="1:35" ht="15">
      <c r="A11" s="50" t="s">
        <v>7</v>
      </c>
      <c r="B11" s="52" t="s">
        <v>6</v>
      </c>
      <c r="C11" s="52" t="s">
        <v>6</v>
      </c>
      <c r="D11" s="51">
        <v>2</v>
      </c>
      <c r="E11" s="51">
        <v>0</v>
      </c>
      <c r="F11" s="51">
        <v>0</v>
      </c>
      <c r="G11" s="51">
        <v>0</v>
      </c>
      <c r="H11" s="51">
        <v>1</v>
      </c>
      <c r="I11" s="51">
        <v>0</v>
      </c>
      <c r="J11" s="51">
        <v>1</v>
      </c>
      <c r="K11" s="51">
        <v>1</v>
      </c>
      <c r="L11" s="51">
        <v>0</v>
      </c>
      <c r="M11" s="51">
        <v>21</v>
      </c>
      <c r="N11" s="34">
        <v>0</v>
      </c>
      <c r="O11" s="60" t="s">
        <v>25</v>
      </c>
      <c r="P11" s="60" t="s">
        <v>29</v>
      </c>
      <c r="Q11" s="60" t="s">
        <v>29</v>
      </c>
      <c r="R11" s="60" t="s">
        <v>29</v>
      </c>
      <c r="S11" s="60" t="s">
        <v>29</v>
      </c>
      <c r="T11" s="63">
        <v>0</v>
      </c>
      <c r="U11" s="63">
        <v>0</v>
      </c>
      <c r="V11" s="63">
        <v>8</v>
      </c>
      <c r="W11" s="37">
        <v>31</v>
      </c>
      <c r="X11" s="37">
        <f>31+1</f>
        <v>32</v>
      </c>
      <c r="Y11" s="37">
        <v>32</v>
      </c>
      <c r="Z11" s="37">
        <v>23</v>
      </c>
      <c r="AA11" s="54">
        <f>20</f>
        <v>20</v>
      </c>
      <c r="AB11" s="85">
        <f>301+21+1</f>
        <v>323</v>
      </c>
      <c r="AC11" s="54">
        <v>24</v>
      </c>
      <c r="AD11" s="85">
        <v>32</v>
      </c>
      <c r="AE11" s="54">
        <v>30</v>
      </c>
      <c r="AF11" s="85">
        <v>27</v>
      </c>
      <c r="AG11" s="85">
        <v>36</v>
      </c>
      <c r="AH11" s="95"/>
      <c r="AI11" s="95"/>
    </row>
    <row r="12" spans="1:33" ht="15">
      <c r="A12" s="50" t="s">
        <v>10</v>
      </c>
      <c r="B12" s="51">
        <v>2699</v>
      </c>
      <c r="C12" s="51">
        <v>3927</v>
      </c>
      <c r="D12" s="51">
        <v>3295</v>
      </c>
      <c r="E12" s="51">
        <v>3249</v>
      </c>
      <c r="F12" s="51">
        <v>3733</v>
      </c>
      <c r="G12" s="51">
        <v>3264</v>
      </c>
      <c r="H12" s="51">
        <v>3312</v>
      </c>
      <c r="I12" s="51">
        <v>3886</v>
      </c>
      <c r="J12" s="51">
        <v>4924</v>
      </c>
      <c r="K12" s="51">
        <v>5756</v>
      </c>
      <c r="L12" s="51">
        <v>6794</v>
      </c>
      <c r="M12" s="51">
        <v>7396</v>
      </c>
      <c r="N12" s="35">
        <v>6903</v>
      </c>
      <c r="O12" s="35">
        <v>7239</v>
      </c>
      <c r="P12" s="37">
        <v>8093</v>
      </c>
      <c r="Q12" s="37">
        <v>8757</v>
      </c>
      <c r="R12" s="37">
        <v>9186</v>
      </c>
      <c r="S12" s="37">
        <v>6567</v>
      </c>
      <c r="T12" s="37">
        <v>5851</v>
      </c>
      <c r="U12" s="37">
        <v>4061</v>
      </c>
      <c r="V12" s="37">
        <v>6033</v>
      </c>
      <c r="W12" s="37">
        <f>4+11+1390+1285</f>
        <v>2690</v>
      </c>
      <c r="X12" s="37">
        <f>2+15+1469+1183</f>
        <v>2669</v>
      </c>
      <c r="Y12" s="37">
        <f>2+80+2162+1437</f>
        <v>3681</v>
      </c>
      <c r="Z12" s="37">
        <f>2+28+2067+1202</f>
        <v>3299</v>
      </c>
      <c r="AA12" s="37">
        <f>1+3+940+2398</f>
        <v>3342</v>
      </c>
      <c r="AB12" s="37">
        <v>2422</v>
      </c>
      <c r="AC12" s="37">
        <v>1254</v>
      </c>
      <c r="AD12" s="83">
        <v>251</v>
      </c>
      <c r="AE12" s="83">
        <v>218</v>
      </c>
      <c r="AF12" s="83">
        <v>178</v>
      </c>
      <c r="AG12" s="83">
        <v>291</v>
      </c>
    </row>
    <row r="13" spans="1:33" ht="15">
      <c r="A13" s="50" t="s">
        <v>28</v>
      </c>
      <c r="B13" s="51">
        <v>275</v>
      </c>
      <c r="C13" s="51">
        <v>772</v>
      </c>
      <c r="D13" s="51">
        <v>752</v>
      </c>
      <c r="E13" s="51">
        <v>534</v>
      </c>
      <c r="F13" s="51">
        <v>771</v>
      </c>
      <c r="G13" s="51">
        <v>923</v>
      </c>
      <c r="H13" s="51">
        <v>771</v>
      </c>
      <c r="I13" s="51">
        <v>944</v>
      </c>
      <c r="J13" s="51">
        <v>976</v>
      </c>
      <c r="K13" s="51">
        <v>1044</v>
      </c>
      <c r="L13" s="51">
        <v>1061</v>
      </c>
      <c r="M13" s="51">
        <v>908</v>
      </c>
      <c r="N13" s="35">
        <v>905</v>
      </c>
      <c r="O13" s="54">
        <v>924</v>
      </c>
      <c r="P13" s="37">
        <v>329</v>
      </c>
      <c r="Q13" s="37">
        <v>12</v>
      </c>
      <c r="R13" s="37">
        <v>19</v>
      </c>
      <c r="S13" s="37">
        <v>14</v>
      </c>
      <c r="T13" s="37">
        <v>16</v>
      </c>
      <c r="U13" s="37">
        <v>19</v>
      </c>
      <c r="V13" s="37">
        <v>19</v>
      </c>
      <c r="W13" s="37">
        <f>6+11+18</f>
        <v>35</v>
      </c>
      <c r="X13" s="37">
        <f>4+8</f>
        <v>12</v>
      </c>
      <c r="Y13" s="37">
        <f>4+29+384</f>
        <v>417</v>
      </c>
      <c r="Z13" s="37">
        <f>1+99+256</f>
        <v>356</v>
      </c>
      <c r="AA13" s="37">
        <f>183+374</f>
        <v>557</v>
      </c>
      <c r="AB13" s="37">
        <f>393</f>
        <v>393</v>
      </c>
      <c r="AC13" s="37">
        <v>160</v>
      </c>
      <c r="AD13" s="37">
        <v>24</v>
      </c>
      <c r="AE13" s="37">
        <v>47</v>
      </c>
      <c r="AF13" s="83">
        <v>3</v>
      </c>
      <c r="AG13" s="83">
        <v>4</v>
      </c>
    </row>
    <row r="14" spans="1:33" ht="15">
      <c r="A14" s="53" t="s">
        <v>26</v>
      </c>
      <c r="B14" s="31">
        <f aca="true" t="shared" si="0" ref="B14:N14">SUM(B7:B11)</f>
        <v>789</v>
      </c>
      <c r="C14" s="31">
        <f t="shared" si="0"/>
        <v>958</v>
      </c>
      <c r="D14" s="31">
        <f t="shared" si="0"/>
        <v>855</v>
      </c>
      <c r="E14" s="31">
        <f t="shared" si="0"/>
        <v>731</v>
      </c>
      <c r="F14" s="31">
        <f t="shared" si="0"/>
        <v>1665</v>
      </c>
      <c r="G14" s="31">
        <f t="shared" si="0"/>
        <v>1218</v>
      </c>
      <c r="H14" s="31">
        <f t="shared" si="0"/>
        <v>861</v>
      </c>
      <c r="I14" s="31">
        <f t="shared" si="0"/>
        <v>1061</v>
      </c>
      <c r="J14" s="31">
        <f t="shared" si="0"/>
        <v>1782</v>
      </c>
      <c r="K14" s="31">
        <f t="shared" si="0"/>
        <v>2017</v>
      </c>
      <c r="L14" s="31">
        <f t="shared" si="0"/>
        <v>904</v>
      </c>
      <c r="M14" s="31">
        <f t="shared" si="0"/>
        <v>2283</v>
      </c>
      <c r="N14" s="36">
        <f t="shared" si="0"/>
        <v>2534</v>
      </c>
      <c r="O14" s="36">
        <v>76</v>
      </c>
      <c r="P14" s="36">
        <f aca="true" t="shared" si="1" ref="P14:Z14">SUM(P7:P13)</f>
        <v>8566</v>
      </c>
      <c r="Q14" s="36">
        <f t="shared" si="1"/>
        <v>8833</v>
      </c>
      <c r="R14" s="36">
        <f t="shared" si="1"/>
        <v>9290</v>
      </c>
      <c r="S14" s="36">
        <f t="shared" si="1"/>
        <v>6689</v>
      </c>
      <c r="T14" s="36">
        <f t="shared" si="1"/>
        <v>5955</v>
      </c>
      <c r="U14" s="36">
        <f t="shared" si="1"/>
        <v>4285</v>
      </c>
      <c r="V14" s="36">
        <f t="shared" si="1"/>
        <v>6302</v>
      </c>
      <c r="W14" s="36">
        <f t="shared" si="1"/>
        <v>3498</v>
      </c>
      <c r="X14" s="36">
        <f t="shared" si="1"/>
        <v>4546</v>
      </c>
      <c r="Y14" s="36">
        <f t="shared" si="1"/>
        <v>7067</v>
      </c>
      <c r="Z14" s="36">
        <f t="shared" si="1"/>
        <v>12376</v>
      </c>
      <c r="AA14" s="36">
        <f>SUM(AA7:AA13)</f>
        <v>6263</v>
      </c>
      <c r="AB14" s="84">
        <f>SUM(AB7:AB13)</f>
        <v>5590</v>
      </c>
      <c r="AC14" s="84">
        <f>SUM(AC7:AC13)</f>
        <v>4105</v>
      </c>
      <c r="AD14" s="84">
        <f>SUM(AD7:AD13)</f>
        <v>3092</v>
      </c>
      <c r="AE14" s="84">
        <f>SUM(AE7:AE13)</f>
        <v>2781</v>
      </c>
      <c r="AF14" s="84">
        <f>SUM(AF7:AF13)-AF10</f>
        <v>952</v>
      </c>
      <c r="AG14" s="84">
        <f>SUM(AG7:AG13)-AG10</f>
        <v>1314</v>
      </c>
    </row>
    <row r="15" spans="1:33" ht="15">
      <c r="A15" s="50" t="s">
        <v>9</v>
      </c>
      <c r="B15" s="51">
        <v>122</v>
      </c>
      <c r="C15" s="51">
        <v>120</v>
      </c>
      <c r="D15" s="51">
        <v>102</v>
      </c>
      <c r="E15" s="51">
        <v>77</v>
      </c>
      <c r="F15" s="51">
        <v>116</v>
      </c>
      <c r="G15" s="51">
        <v>70</v>
      </c>
      <c r="H15" s="51">
        <v>38</v>
      </c>
      <c r="I15" s="51">
        <v>54</v>
      </c>
      <c r="J15" s="51">
        <v>75</v>
      </c>
      <c r="K15" s="51">
        <v>172</v>
      </c>
      <c r="L15" s="51">
        <v>350</v>
      </c>
      <c r="M15" s="51">
        <v>690</v>
      </c>
      <c r="N15" s="35">
        <v>274</v>
      </c>
      <c r="O15" s="61" t="s">
        <v>25</v>
      </c>
      <c r="P15" s="61" t="s">
        <v>25</v>
      </c>
      <c r="Q15" s="61" t="s">
        <v>25</v>
      </c>
      <c r="R15" s="61" t="s">
        <v>25</v>
      </c>
      <c r="S15" s="61" t="s">
        <v>25</v>
      </c>
      <c r="T15" s="61" t="s">
        <v>25</v>
      </c>
      <c r="U15" s="61" t="s">
        <v>25</v>
      </c>
      <c r="V15" s="61" t="s">
        <v>25</v>
      </c>
      <c r="W15" s="54">
        <f>635+223</f>
        <v>858</v>
      </c>
      <c r="X15" s="54">
        <f>130+265</f>
        <v>395</v>
      </c>
      <c r="Y15" s="54">
        <f>401+290</f>
        <v>691</v>
      </c>
      <c r="Z15" s="54">
        <f>179+263</f>
        <v>442</v>
      </c>
      <c r="AA15" s="54">
        <f>354+208</f>
        <v>562</v>
      </c>
      <c r="AB15" s="98">
        <v>636</v>
      </c>
      <c r="AC15" s="61">
        <v>171</v>
      </c>
      <c r="AD15" s="61">
        <v>73</v>
      </c>
      <c r="AE15" s="61">
        <v>51</v>
      </c>
      <c r="AF15" s="85">
        <v>19</v>
      </c>
      <c r="AG15" s="85">
        <v>48</v>
      </c>
    </row>
    <row r="16" spans="1:33" ht="15">
      <c r="A16" s="50" t="s">
        <v>27</v>
      </c>
      <c r="B16" s="51">
        <v>334</v>
      </c>
      <c r="C16" s="51">
        <v>169</v>
      </c>
      <c r="D16" s="51">
        <v>211</v>
      </c>
      <c r="E16" s="51">
        <v>237</v>
      </c>
      <c r="F16" s="51">
        <v>224</v>
      </c>
      <c r="G16" s="51">
        <v>212</v>
      </c>
      <c r="H16" s="51">
        <v>70</v>
      </c>
      <c r="I16" s="51">
        <v>86</v>
      </c>
      <c r="J16" s="51">
        <v>84</v>
      </c>
      <c r="K16" s="51">
        <v>296</v>
      </c>
      <c r="L16" s="51">
        <v>937</v>
      </c>
      <c r="M16" s="51">
        <v>2220</v>
      </c>
      <c r="N16" s="35">
        <v>1998</v>
      </c>
      <c r="O16" s="54">
        <v>2615</v>
      </c>
      <c r="P16" s="54">
        <v>5831</v>
      </c>
      <c r="Q16" s="54">
        <v>7546</v>
      </c>
      <c r="R16" s="54">
        <v>8712</v>
      </c>
      <c r="S16" s="54">
        <v>8976</v>
      </c>
      <c r="T16" s="54">
        <v>9157</v>
      </c>
      <c r="U16" s="54">
        <v>9529</v>
      </c>
      <c r="V16" s="54">
        <v>11134</v>
      </c>
      <c r="W16" s="54">
        <f>863+7337+2142+27</f>
        <v>10369</v>
      </c>
      <c r="X16" s="54">
        <f>13+867+754+7426+2407</f>
        <v>11467</v>
      </c>
      <c r="Y16" s="54">
        <f>6+531+867+7657+3517</f>
        <v>12578</v>
      </c>
      <c r="Z16" s="54">
        <f>435+1183+7353+4359</f>
        <v>13330</v>
      </c>
      <c r="AA16" s="54">
        <f>4+339+1699+8914+5607</f>
        <v>16563</v>
      </c>
      <c r="AB16" s="54">
        <v>17859</v>
      </c>
      <c r="AC16" s="85">
        <v>19894</v>
      </c>
      <c r="AD16" s="85">
        <v>19170</v>
      </c>
      <c r="AE16" s="85">
        <v>19237</v>
      </c>
      <c r="AF16" s="85">
        <v>14552</v>
      </c>
      <c r="AG16" s="85">
        <v>20312</v>
      </c>
    </row>
    <row r="17" spans="1:33" ht="15">
      <c r="A17" s="53" t="s">
        <v>36</v>
      </c>
      <c r="B17" s="31">
        <v>4</v>
      </c>
      <c r="C17" s="31">
        <v>1</v>
      </c>
      <c r="D17" s="31">
        <v>43</v>
      </c>
      <c r="E17" s="31">
        <v>7</v>
      </c>
      <c r="F17" s="31">
        <v>0</v>
      </c>
      <c r="G17" s="31">
        <v>0</v>
      </c>
      <c r="H17" s="31">
        <v>0</v>
      </c>
      <c r="I17" s="67" t="s">
        <v>6</v>
      </c>
      <c r="J17" s="67" t="s">
        <v>20</v>
      </c>
      <c r="K17" s="68">
        <v>3</v>
      </c>
      <c r="L17" s="68">
        <v>22</v>
      </c>
      <c r="M17" s="68">
        <v>15</v>
      </c>
      <c r="N17" s="80">
        <v>39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54">
        <f>68+5</f>
        <v>73</v>
      </c>
      <c r="Y17" s="54">
        <v>91</v>
      </c>
      <c r="Z17" s="54">
        <v>89</v>
      </c>
      <c r="AA17" s="54">
        <f>56</f>
        <v>56</v>
      </c>
      <c r="AB17" s="69">
        <v>50</v>
      </c>
      <c r="AC17" s="69">
        <v>39</v>
      </c>
      <c r="AD17" s="69">
        <v>32</v>
      </c>
      <c r="AE17" s="69">
        <v>30</v>
      </c>
      <c r="AF17" s="105">
        <f>6+AF10</f>
        <v>779</v>
      </c>
      <c r="AG17" s="105">
        <f>10+AG10</f>
        <v>44</v>
      </c>
    </row>
    <row r="18" spans="1:33" ht="15">
      <c r="A18" s="50" t="s">
        <v>14</v>
      </c>
      <c r="B18" s="51">
        <f>716+70</f>
        <v>786</v>
      </c>
      <c r="C18" s="51">
        <f>1414+406</f>
        <v>1820</v>
      </c>
      <c r="D18" s="51">
        <f>1275+201</f>
        <v>1476</v>
      </c>
      <c r="E18" s="51">
        <f>893+34</f>
        <v>927</v>
      </c>
      <c r="F18" s="51">
        <f>577+12</f>
        <v>589</v>
      </c>
      <c r="G18" s="51">
        <f>2679+103</f>
        <v>2782</v>
      </c>
      <c r="H18" s="51">
        <v>2426</v>
      </c>
      <c r="I18" s="51">
        <v>1590</v>
      </c>
      <c r="J18" s="51">
        <v>1951</v>
      </c>
      <c r="K18" s="51">
        <v>1611</v>
      </c>
      <c r="L18" s="51">
        <v>1555</v>
      </c>
      <c r="M18" s="51">
        <v>1747</v>
      </c>
      <c r="N18" s="35">
        <v>1461</v>
      </c>
      <c r="O18" s="35">
        <v>1739</v>
      </c>
      <c r="P18" s="35">
        <v>2847</v>
      </c>
      <c r="Q18" s="35">
        <v>2925</v>
      </c>
      <c r="R18" s="35">
        <v>3725</v>
      </c>
      <c r="S18" s="35">
        <v>5025</v>
      </c>
      <c r="T18" s="35">
        <v>6868</v>
      </c>
      <c r="U18" s="35">
        <v>5533</v>
      </c>
      <c r="V18" s="35">
        <v>6858</v>
      </c>
      <c r="W18" s="35">
        <f>1655+43+1444+2997+3637</f>
        <v>9776</v>
      </c>
      <c r="X18" s="101">
        <f>1531+91+2791+5779+1354</f>
        <v>11546</v>
      </c>
      <c r="Y18" s="101">
        <f>3080+1202+37+7454+1518</f>
        <v>13291</v>
      </c>
      <c r="Z18" s="101">
        <f>1462+14+3375+6400+1351</f>
        <v>12602</v>
      </c>
      <c r="AA18" s="101">
        <f>1350+3227+5420+2554</f>
        <v>12551</v>
      </c>
      <c r="AB18" s="35">
        <f>1487+9547</f>
        <v>11034</v>
      </c>
      <c r="AC18" s="86">
        <f>1481+9050</f>
        <v>10531</v>
      </c>
      <c r="AD18" s="86">
        <f>1551+10061</f>
        <v>11612</v>
      </c>
      <c r="AE18" s="86">
        <f>1395+8566</f>
        <v>9961</v>
      </c>
      <c r="AF18" s="86">
        <f>1219+5706</f>
        <v>6925</v>
      </c>
      <c r="AG18" s="86">
        <f>1301+6942</f>
        <v>8243</v>
      </c>
    </row>
    <row r="19" spans="1:33" ht="15">
      <c r="A19" s="50" t="s">
        <v>15</v>
      </c>
      <c r="B19" s="51">
        <v>4512</v>
      </c>
      <c r="C19" s="51">
        <v>5496</v>
      </c>
      <c r="D19" s="51">
        <v>5974</v>
      </c>
      <c r="E19" s="51">
        <v>4629</v>
      </c>
      <c r="F19" s="51">
        <v>5202</v>
      </c>
      <c r="G19" s="51">
        <v>4228</v>
      </c>
      <c r="H19" s="51">
        <v>6012</v>
      </c>
      <c r="I19" s="51">
        <v>7231</v>
      </c>
      <c r="J19" s="51">
        <v>6685</v>
      </c>
      <c r="K19" s="51">
        <v>5765</v>
      </c>
      <c r="L19" s="51">
        <v>4578</v>
      </c>
      <c r="M19" s="51">
        <v>5773</v>
      </c>
      <c r="N19" s="35">
        <v>6798</v>
      </c>
      <c r="O19" s="35">
        <v>8153</v>
      </c>
      <c r="P19" s="35">
        <v>9304</v>
      </c>
      <c r="Q19" s="35">
        <v>8305</v>
      </c>
      <c r="R19" s="35">
        <v>8570</v>
      </c>
      <c r="S19" s="35">
        <v>7689</v>
      </c>
      <c r="T19" s="35">
        <v>8815</v>
      </c>
      <c r="U19" s="35">
        <v>5321</v>
      </c>
      <c r="V19" s="35">
        <v>3288</v>
      </c>
      <c r="W19" s="35">
        <f>2559+78</f>
        <v>2637</v>
      </c>
      <c r="X19" s="35">
        <f>49+1641+332</f>
        <v>2022</v>
      </c>
      <c r="Y19" s="35">
        <f>16+2275+228</f>
        <v>2519</v>
      </c>
      <c r="Z19" s="35">
        <f>4292+778+52</f>
        <v>5122</v>
      </c>
      <c r="AA19" s="35">
        <f>248+2327+1017</f>
        <v>3592</v>
      </c>
      <c r="AB19" s="35">
        <v>2003</v>
      </c>
      <c r="AC19" s="86">
        <v>1630</v>
      </c>
      <c r="AD19" s="35">
        <v>1058</v>
      </c>
      <c r="AE19" s="86">
        <v>803</v>
      </c>
      <c r="AF19" s="86">
        <v>425</v>
      </c>
      <c r="AG19" s="86">
        <v>1030</v>
      </c>
    </row>
    <row r="20" spans="1:33" ht="15">
      <c r="A20" s="50" t="s">
        <v>16</v>
      </c>
      <c r="B20" s="51">
        <v>1151</v>
      </c>
      <c r="C20" s="51">
        <v>1284</v>
      </c>
      <c r="D20" s="51">
        <v>1399</v>
      </c>
      <c r="E20" s="51">
        <v>1532</v>
      </c>
      <c r="F20" s="51">
        <v>1592</v>
      </c>
      <c r="G20" s="51">
        <v>939</v>
      </c>
      <c r="H20" s="51">
        <v>1189</v>
      </c>
      <c r="I20" s="51">
        <v>809</v>
      </c>
      <c r="J20" s="51">
        <v>2301</v>
      </c>
      <c r="K20" s="51">
        <v>2320</v>
      </c>
      <c r="L20" s="51">
        <v>4238</v>
      </c>
      <c r="M20" s="51">
        <v>4089</v>
      </c>
      <c r="N20" s="35">
        <v>4518</v>
      </c>
      <c r="O20" s="35">
        <v>5007</v>
      </c>
      <c r="P20" s="35">
        <v>3996</v>
      </c>
      <c r="Q20" s="35">
        <v>4171</v>
      </c>
      <c r="R20" s="35">
        <v>4748</v>
      </c>
      <c r="S20" s="35">
        <v>5626</v>
      </c>
      <c r="T20" s="35">
        <v>4576</v>
      </c>
      <c r="U20" s="35">
        <v>3607</v>
      </c>
      <c r="V20" s="35">
        <v>4107</v>
      </c>
      <c r="W20" s="35">
        <f>3983+206</f>
        <v>4189</v>
      </c>
      <c r="X20" s="35">
        <f>4212+308</f>
        <v>4520</v>
      </c>
      <c r="Y20" s="35">
        <f>4612+128</f>
        <v>4740</v>
      </c>
      <c r="Z20" s="35">
        <f>5371+185+166</f>
        <v>5722</v>
      </c>
      <c r="AA20" s="35">
        <f>5748+29+144</f>
        <v>5921</v>
      </c>
      <c r="AB20" s="35">
        <v>6608</v>
      </c>
      <c r="AC20" s="86">
        <v>5625</v>
      </c>
      <c r="AD20" s="86">
        <v>5275</v>
      </c>
      <c r="AE20" s="35">
        <f>4794-23</f>
        <v>4771</v>
      </c>
      <c r="AF20" s="86">
        <v>3851</v>
      </c>
      <c r="AG20" s="86">
        <v>5439</v>
      </c>
    </row>
    <row r="21" spans="1:33" ht="15">
      <c r="A21" s="50" t="s">
        <v>17</v>
      </c>
      <c r="B21" s="51">
        <v>128</v>
      </c>
      <c r="C21" s="51">
        <v>446</v>
      </c>
      <c r="D21" s="51">
        <v>622</v>
      </c>
      <c r="E21" s="51">
        <v>749</v>
      </c>
      <c r="F21" s="51">
        <v>1187</v>
      </c>
      <c r="G21" s="51">
        <v>996</v>
      </c>
      <c r="H21" s="51">
        <v>2295</v>
      </c>
      <c r="I21" s="51">
        <v>3737</v>
      </c>
      <c r="J21" s="51">
        <v>3098</v>
      </c>
      <c r="K21" s="51">
        <v>2841</v>
      </c>
      <c r="L21" s="51">
        <v>2744</v>
      </c>
      <c r="M21" s="51">
        <v>3164</v>
      </c>
      <c r="N21" s="35">
        <v>2853</v>
      </c>
      <c r="O21" s="35">
        <v>3987</v>
      </c>
      <c r="P21" s="35">
        <v>3718</v>
      </c>
      <c r="Q21" s="35">
        <v>3068</v>
      </c>
      <c r="R21" s="35">
        <v>4184</v>
      </c>
      <c r="S21" s="35">
        <v>5923</v>
      </c>
      <c r="T21" s="35">
        <v>4667</v>
      </c>
      <c r="U21" s="35">
        <v>6508</v>
      </c>
      <c r="V21" s="35">
        <v>7898</v>
      </c>
      <c r="W21" s="35">
        <f>62+2873+63+7564</f>
        <v>10562</v>
      </c>
      <c r="X21" s="35">
        <f>33+87+6377+2484+156</f>
        <v>9137</v>
      </c>
      <c r="Y21" s="35">
        <f>25+121+69+7297+2540</f>
        <v>10052</v>
      </c>
      <c r="Z21" s="35">
        <f>87+88+4703+2570</f>
        <v>7448</v>
      </c>
      <c r="AA21" s="35">
        <f>62+30+6428+3769</f>
        <v>10289</v>
      </c>
      <c r="AB21" s="35">
        <v>10754</v>
      </c>
      <c r="AC21" s="86">
        <v>6098</v>
      </c>
      <c r="AD21" s="86">
        <v>4055</v>
      </c>
      <c r="AE21" s="86">
        <v>1951</v>
      </c>
      <c r="AF21" s="86">
        <v>1923</v>
      </c>
      <c r="AG21" s="86">
        <v>2264</v>
      </c>
    </row>
    <row r="22" spans="1:35" ht="15">
      <c r="A22" s="53" t="s">
        <v>30</v>
      </c>
      <c r="B22" s="31">
        <f>185-128</f>
        <v>57</v>
      </c>
      <c r="C22" s="31">
        <f>861-446</f>
        <v>415</v>
      </c>
      <c r="D22" s="31">
        <f>1334-622</f>
        <v>712</v>
      </c>
      <c r="E22" s="31">
        <f>1203-749</f>
        <v>454</v>
      </c>
      <c r="F22" s="31">
        <v>479</v>
      </c>
      <c r="G22" s="31">
        <f>1480-996</f>
        <v>484</v>
      </c>
      <c r="H22" s="31">
        <v>330</v>
      </c>
      <c r="I22" s="31">
        <v>726</v>
      </c>
      <c r="J22" s="31">
        <v>479</v>
      </c>
      <c r="K22" s="31">
        <v>897</v>
      </c>
      <c r="L22" s="31">
        <v>690</v>
      </c>
      <c r="M22" s="31">
        <v>1584</v>
      </c>
      <c r="N22" s="35">
        <v>1174</v>
      </c>
      <c r="O22" s="35">
        <v>3286</v>
      </c>
      <c r="P22" s="35">
        <v>2790</v>
      </c>
      <c r="Q22" s="35">
        <v>1630</v>
      </c>
      <c r="R22" s="35">
        <v>2909</v>
      </c>
      <c r="S22" s="35">
        <v>2386</v>
      </c>
      <c r="T22" s="35">
        <v>2310</v>
      </c>
      <c r="U22" s="35">
        <v>1799</v>
      </c>
      <c r="V22" s="35">
        <v>1614</v>
      </c>
      <c r="W22" s="35">
        <v>34</v>
      </c>
      <c r="X22" s="35">
        <f>9+64</f>
        <v>73</v>
      </c>
      <c r="Y22" s="35">
        <f>8+135</f>
        <v>143</v>
      </c>
      <c r="Z22" s="35">
        <f>14+37+204</f>
        <v>255</v>
      </c>
      <c r="AA22" s="35">
        <f>16+321+56+84+66</f>
        <v>543</v>
      </c>
      <c r="AB22" s="86">
        <f>466+12+180+29+1</f>
        <v>688</v>
      </c>
      <c r="AC22" s="86">
        <f>636+12+31+1</f>
        <v>680</v>
      </c>
      <c r="AD22" s="86">
        <f>789+10+86+3</f>
        <v>888</v>
      </c>
      <c r="AE22" s="86">
        <f>571+9+1169</f>
        <v>1749</v>
      </c>
      <c r="AF22" s="86">
        <f>140+2+159</f>
        <v>301</v>
      </c>
      <c r="AG22" s="86">
        <f>9+10</f>
        <v>19</v>
      </c>
      <c r="AH22" s="95"/>
      <c r="AI22" s="95"/>
    </row>
    <row r="23" spans="1:33" ht="15">
      <c r="A23" s="53" t="s">
        <v>18</v>
      </c>
      <c r="B23" s="31">
        <f aca="true" t="shared" si="2" ref="B23:O23">SUM(B12:B22)</f>
        <v>10857</v>
      </c>
      <c r="C23" s="31">
        <f t="shared" si="2"/>
        <v>15408</v>
      </c>
      <c r="D23" s="31">
        <f t="shared" si="2"/>
        <v>15441</v>
      </c>
      <c r="E23" s="31">
        <f t="shared" si="2"/>
        <v>13126</v>
      </c>
      <c r="F23" s="31">
        <f t="shared" si="2"/>
        <v>15558</v>
      </c>
      <c r="G23" s="31">
        <f t="shared" si="2"/>
        <v>15116</v>
      </c>
      <c r="H23" s="31">
        <f t="shared" si="2"/>
        <v>17304</v>
      </c>
      <c r="I23" s="31">
        <f t="shared" si="2"/>
        <v>20124</v>
      </c>
      <c r="J23" s="31">
        <f t="shared" si="2"/>
        <v>22355</v>
      </c>
      <c r="K23" s="31">
        <f t="shared" si="2"/>
        <v>22722</v>
      </c>
      <c r="L23" s="31">
        <f t="shared" si="2"/>
        <v>23873</v>
      </c>
      <c r="M23" s="31">
        <f t="shared" si="2"/>
        <v>29869</v>
      </c>
      <c r="N23" s="38">
        <f t="shared" si="2"/>
        <v>29457</v>
      </c>
      <c r="O23" s="38">
        <f t="shared" si="2"/>
        <v>33026</v>
      </c>
      <c r="P23" s="38">
        <f aca="true" t="shared" si="3" ref="P23:Z23">SUM(P14:P22)</f>
        <v>37052</v>
      </c>
      <c r="Q23" s="38">
        <f t="shared" si="3"/>
        <v>36478</v>
      </c>
      <c r="R23" s="38">
        <f t="shared" si="3"/>
        <v>42138</v>
      </c>
      <c r="S23" s="38">
        <f t="shared" si="3"/>
        <v>42314</v>
      </c>
      <c r="T23" s="38">
        <f t="shared" si="3"/>
        <v>42348</v>
      </c>
      <c r="U23" s="38">
        <f t="shared" si="3"/>
        <v>36582</v>
      </c>
      <c r="V23" s="38">
        <f t="shared" si="3"/>
        <v>41201</v>
      </c>
      <c r="W23" s="38">
        <f t="shared" si="3"/>
        <v>41923</v>
      </c>
      <c r="X23" s="38">
        <f t="shared" si="3"/>
        <v>43779</v>
      </c>
      <c r="Y23" s="38">
        <f t="shared" si="3"/>
        <v>51172</v>
      </c>
      <c r="Z23" s="38">
        <f t="shared" si="3"/>
        <v>57386</v>
      </c>
      <c r="AA23" s="38">
        <f aca="true" t="shared" si="4" ref="AA23:AG23">SUM(AA14:AA22)</f>
        <v>56340</v>
      </c>
      <c r="AB23" s="82">
        <f t="shared" si="4"/>
        <v>55222</v>
      </c>
      <c r="AC23" s="82">
        <f t="shared" si="4"/>
        <v>48773</v>
      </c>
      <c r="AD23" s="82">
        <f t="shared" si="4"/>
        <v>45255</v>
      </c>
      <c r="AE23" s="82">
        <f t="shared" si="4"/>
        <v>41334</v>
      </c>
      <c r="AF23" s="82">
        <f t="shared" si="4"/>
        <v>29727</v>
      </c>
      <c r="AG23" s="82">
        <f t="shared" si="4"/>
        <v>38713</v>
      </c>
    </row>
    <row r="24" spans="1:33" ht="15">
      <c r="A24" s="66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65"/>
      <c r="O24" s="65"/>
      <c r="P24" s="65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G24" s="70"/>
    </row>
    <row r="25" spans="1:33" ht="15">
      <c r="A25" s="79" t="s">
        <v>34</v>
      </c>
      <c r="B25" s="64"/>
      <c r="C25" s="64"/>
      <c r="D25" s="64"/>
      <c r="E25" s="77"/>
      <c r="F25" s="64"/>
      <c r="G25" s="64"/>
      <c r="H25" s="64"/>
      <c r="I25" s="64"/>
      <c r="J25" s="64"/>
      <c r="K25" s="64"/>
      <c r="L25" s="64"/>
      <c r="M25" s="75"/>
      <c r="N25" s="75"/>
      <c r="O25" s="75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104"/>
      <c r="AA25" s="103" t="s">
        <v>37</v>
      </c>
      <c r="AB25" s="76"/>
      <c r="AC25" s="76"/>
      <c r="AD25" s="76"/>
      <c r="AE25" s="106"/>
      <c r="AG25" s="107"/>
    </row>
    <row r="26" spans="1:33" ht="15">
      <c r="A26" s="114" t="s">
        <v>38</v>
      </c>
      <c r="B26" s="64"/>
      <c r="C26" s="64"/>
      <c r="D26" s="64"/>
      <c r="E26" s="77"/>
      <c r="F26" s="64"/>
      <c r="G26" s="64"/>
      <c r="H26" s="64"/>
      <c r="I26" s="64"/>
      <c r="J26" s="64"/>
      <c r="K26" s="64"/>
      <c r="L26" s="64"/>
      <c r="M26" s="75"/>
      <c r="N26" s="75"/>
      <c r="O26" s="75"/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104"/>
      <c r="AA26" s="103"/>
      <c r="AB26" s="76"/>
      <c r="AC26" s="76"/>
      <c r="AD26" s="76"/>
      <c r="AE26" s="106"/>
      <c r="AG26" s="107"/>
    </row>
    <row r="27" spans="1:33" ht="15">
      <c r="A27" s="72" t="s">
        <v>32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/>
    </row>
    <row r="42" ht="15">
      <c r="A42" s="42"/>
    </row>
    <row r="44" ht="15">
      <c r="A44" s="42"/>
    </row>
    <row r="46" ht="15">
      <c r="A46" s="42"/>
    </row>
    <row r="48" spans="1:18" ht="15">
      <c r="A48" s="42"/>
      <c r="B48" s="57"/>
      <c r="C48" s="58"/>
      <c r="D48" s="57"/>
      <c r="E48" s="58"/>
      <c r="F48" s="57"/>
      <c r="G48" s="58"/>
      <c r="H48" s="57"/>
      <c r="I48" s="58"/>
      <c r="J48" s="58"/>
      <c r="K48" s="57"/>
      <c r="L48" s="58"/>
      <c r="M48" s="57"/>
      <c r="N48" s="58"/>
      <c r="O48" s="57"/>
      <c r="P48" s="58"/>
      <c r="Q48" s="57"/>
      <c r="R48" s="58"/>
    </row>
    <row r="49" spans="1:18" ht="15">
      <c r="A49" s="42"/>
      <c r="B49" s="57"/>
      <c r="C49" s="58"/>
      <c r="D49" s="57"/>
      <c r="E49" s="58"/>
      <c r="F49" s="57"/>
      <c r="G49" s="58"/>
      <c r="H49" s="57"/>
      <c r="I49" s="58"/>
      <c r="J49" s="58"/>
      <c r="K49" s="57"/>
      <c r="L49" s="58"/>
      <c r="M49" s="57"/>
      <c r="N49" s="58"/>
      <c r="O49" s="57"/>
      <c r="P49" s="58"/>
      <c r="Q49" s="57"/>
      <c r="R49" s="58"/>
    </row>
    <row r="50" spans="1:18" ht="15">
      <c r="A50" s="42"/>
      <c r="B50" s="57"/>
      <c r="C50" s="58"/>
      <c r="D50" s="57"/>
      <c r="E50" s="58"/>
      <c r="F50" s="57"/>
      <c r="G50" s="58"/>
      <c r="H50" s="57"/>
      <c r="I50" s="58"/>
      <c r="J50" s="58"/>
      <c r="K50" s="57"/>
      <c r="L50" s="58"/>
      <c r="M50" s="57"/>
      <c r="N50" s="58"/>
      <c r="O50" s="57"/>
      <c r="P50" s="58"/>
      <c r="Q50" s="57"/>
      <c r="R50" s="58"/>
    </row>
    <row r="51" spans="1:18" ht="15">
      <c r="A51" s="42"/>
      <c r="B51" s="57"/>
      <c r="C51" s="58"/>
      <c r="D51" s="57"/>
      <c r="E51" s="58"/>
      <c r="F51" s="57"/>
      <c r="G51" s="58"/>
      <c r="H51" s="57"/>
      <c r="I51" s="58"/>
      <c r="J51" s="58"/>
      <c r="K51" s="57"/>
      <c r="L51" s="58"/>
      <c r="M51" s="57"/>
      <c r="N51" s="58"/>
      <c r="O51" s="57"/>
      <c r="P51" s="58"/>
      <c r="Q51" s="57"/>
      <c r="R51" s="58"/>
    </row>
    <row r="52" spans="1:18" ht="15">
      <c r="A52" s="42"/>
      <c r="B52" s="57"/>
      <c r="C52" s="58"/>
      <c r="D52" s="57"/>
      <c r="E52" s="58"/>
      <c r="F52" s="57"/>
      <c r="G52" s="58"/>
      <c r="H52" s="57"/>
      <c r="I52" s="58"/>
      <c r="J52" s="58"/>
      <c r="K52" s="57"/>
      <c r="L52" s="58"/>
      <c r="M52" s="57"/>
      <c r="N52" s="58"/>
      <c r="O52" s="57"/>
      <c r="P52" s="58"/>
      <c r="Q52" s="57"/>
      <c r="R52" s="58"/>
    </row>
    <row r="53" spans="1:18" ht="15">
      <c r="A53" s="42"/>
      <c r="B53" s="57"/>
      <c r="C53" s="58"/>
      <c r="D53" s="57"/>
      <c r="E53" s="58"/>
      <c r="F53" s="57"/>
      <c r="G53" s="58"/>
      <c r="H53" s="57"/>
      <c r="I53" s="58"/>
      <c r="J53" s="58"/>
      <c r="K53" s="57"/>
      <c r="L53" s="58"/>
      <c r="M53" s="57"/>
      <c r="N53" s="58"/>
      <c r="O53" s="57"/>
      <c r="P53" s="58"/>
      <c r="Q53" s="57"/>
      <c r="R53" s="58"/>
    </row>
    <row r="54" spans="1:18" ht="15">
      <c r="A54" s="42"/>
      <c r="B54" s="57"/>
      <c r="C54" s="58"/>
      <c r="D54" s="57"/>
      <c r="E54" s="58"/>
      <c r="F54" s="57"/>
      <c r="G54" s="58"/>
      <c r="H54" s="57"/>
      <c r="I54" s="58"/>
      <c r="J54" s="58"/>
      <c r="K54" s="57"/>
      <c r="L54" s="58"/>
      <c r="M54" s="57"/>
      <c r="N54" s="58"/>
      <c r="O54" s="57"/>
      <c r="P54" s="58"/>
      <c r="Q54" s="57"/>
      <c r="R54" s="58"/>
    </row>
    <row r="55" spans="1:18" ht="15">
      <c r="A55" s="42"/>
      <c r="B55" s="57"/>
      <c r="C55" s="58"/>
      <c r="D55" s="57"/>
      <c r="E55" s="58"/>
      <c r="F55" s="57"/>
      <c r="G55" s="58"/>
      <c r="H55" s="57"/>
      <c r="I55" s="58"/>
      <c r="J55" s="58"/>
      <c r="K55" s="57"/>
      <c r="L55" s="58"/>
      <c r="M55" s="57"/>
      <c r="N55" s="58"/>
      <c r="O55" s="57"/>
      <c r="P55" s="58"/>
      <c r="Q55" s="57"/>
      <c r="R55" s="58"/>
    </row>
    <row r="56" spans="1:18" ht="15">
      <c r="A56" s="42"/>
      <c r="B56" s="57"/>
      <c r="C56" s="58"/>
      <c r="D56" s="57"/>
      <c r="E56" s="58"/>
      <c r="F56" s="57"/>
      <c r="G56" s="58"/>
      <c r="H56" s="57"/>
      <c r="I56" s="58"/>
      <c r="J56" s="58"/>
      <c r="K56" s="57"/>
      <c r="L56" s="58"/>
      <c r="M56" s="57"/>
      <c r="N56" s="58"/>
      <c r="O56" s="57"/>
      <c r="P56" s="58"/>
      <c r="Q56" s="57"/>
      <c r="R56" s="58"/>
    </row>
    <row r="57" spans="1:18" ht="15">
      <c r="A57" s="42"/>
      <c r="B57" s="57"/>
      <c r="C57" s="58"/>
      <c r="D57" s="57"/>
      <c r="E57" s="58"/>
      <c r="F57" s="57"/>
      <c r="G57" s="58"/>
      <c r="H57" s="57"/>
      <c r="I57" s="58"/>
      <c r="J57" s="58"/>
      <c r="K57" s="57"/>
      <c r="L57" s="58"/>
      <c r="M57" s="57"/>
      <c r="N57" s="58"/>
      <c r="O57" s="57"/>
      <c r="P57" s="58"/>
      <c r="Q57" s="57"/>
      <c r="R57" s="58"/>
    </row>
    <row r="58" spans="1:18" ht="15">
      <c r="A58" s="42"/>
      <c r="B58" s="57"/>
      <c r="C58" s="58"/>
      <c r="D58" s="57"/>
      <c r="E58" s="58"/>
      <c r="F58" s="57"/>
      <c r="G58" s="58"/>
      <c r="H58" s="57"/>
      <c r="I58" s="58"/>
      <c r="J58" s="58"/>
      <c r="K58" s="57"/>
      <c r="L58" s="58"/>
      <c r="M58" s="57"/>
      <c r="N58" s="58"/>
      <c r="O58" s="57"/>
      <c r="P58" s="58"/>
      <c r="Q58" s="57"/>
      <c r="R58" s="58"/>
    </row>
    <row r="59" spans="1:18" ht="15">
      <c r="A59" s="42"/>
      <c r="B59" s="57"/>
      <c r="C59" s="58"/>
      <c r="D59" s="57"/>
      <c r="E59" s="58"/>
      <c r="F59" s="57"/>
      <c r="G59" s="58"/>
      <c r="H59" s="57"/>
      <c r="I59" s="58"/>
      <c r="J59" s="58"/>
      <c r="K59" s="57"/>
      <c r="L59" s="58"/>
      <c r="M59" s="57"/>
      <c r="N59" s="58"/>
      <c r="O59" s="57"/>
      <c r="P59" s="58"/>
      <c r="Q59" s="57"/>
      <c r="R59" s="58"/>
    </row>
    <row r="60" spans="1:18" ht="15">
      <c r="A60" s="42"/>
      <c r="B60" s="57"/>
      <c r="C60" s="58"/>
      <c r="D60" s="57"/>
      <c r="E60" s="58"/>
      <c r="F60" s="57"/>
      <c r="G60" s="58"/>
      <c r="H60" s="57"/>
      <c r="I60" s="58"/>
      <c r="J60" s="58"/>
      <c r="K60" s="57"/>
      <c r="L60" s="58"/>
      <c r="M60" s="57"/>
      <c r="N60" s="58"/>
      <c r="O60" s="57"/>
      <c r="P60" s="58"/>
      <c r="Q60" s="57"/>
      <c r="R60" s="58"/>
    </row>
    <row r="61" spans="1:18" ht="15">
      <c r="A61" s="42"/>
      <c r="B61" s="57"/>
      <c r="C61" s="58"/>
      <c r="D61" s="57"/>
      <c r="E61" s="58"/>
      <c r="F61" s="57"/>
      <c r="G61" s="58"/>
      <c r="H61" s="57"/>
      <c r="I61" s="58"/>
      <c r="J61" s="58"/>
      <c r="K61" s="57"/>
      <c r="L61" s="58"/>
      <c r="M61" s="57"/>
      <c r="N61" s="58"/>
      <c r="O61" s="57"/>
      <c r="P61" s="58"/>
      <c r="Q61" s="57"/>
      <c r="R61" s="58"/>
    </row>
    <row r="62" spans="1:18" ht="15">
      <c r="A62" s="42"/>
      <c r="B62" s="57"/>
      <c r="C62" s="58"/>
      <c r="D62" s="57"/>
      <c r="E62" s="58"/>
      <c r="F62" s="57"/>
      <c r="G62" s="58"/>
      <c r="H62" s="57"/>
      <c r="I62" s="58"/>
      <c r="J62" s="58"/>
      <c r="K62" s="57"/>
      <c r="L62" s="58"/>
      <c r="M62" s="57"/>
      <c r="N62" s="58"/>
      <c r="O62" s="57"/>
      <c r="P62" s="58"/>
      <c r="Q62" s="57"/>
      <c r="R62" s="58"/>
    </row>
    <row r="63" spans="1:18" ht="15">
      <c r="A63" s="42"/>
      <c r="B63" s="57"/>
      <c r="C63" s="58"/>
      <c r="D63" s="57"/>
      <c r="E63" s="58"/>
      <c r="F63" s="57"/>
      <c r="G63" s="58"/>
      <c r="H63" s="57"/>
      <c r="I63" s="58"/>
      <c r="J63" s="58"/>
      <c r="K63" s="57"/>
      <c r="L63" s="58"/>
      <c r="M63" s="57"/>
      <c r="N63" s="58"/>
      <c r="O63" s="57"/>
      <c r="P63" s="58"/>
      <c r="Q63" s="57"/>
      <c r="R63" s="58"/>
    </row>
    <row r="64" spans="1:18" ht="15">
      <c r="A64" s="42"/>
      <c r="B64" s="57"/>
      <c r="C64" s="58"/>
      <c r="D64" s="57"/>
      <c r="E64" s="58"/>
      <c r="F64" s="57"/>
      <c r="G64" s="58"/>
      <c r="H64" s="57"/>
      <c r="I64" s="58"/>
      <c r="J64" s="58"/>
      <c r="K64" s="57"/>
      <c r="L64" s="58"/>
      <c r="M64" s="57"/>
      <c r="N64" s="58"/>
      <c r="O64" s="57"/>
      <c r="P64" s="58"/>
      <c r="Q64" s="57"/>
      <c r="R64" s="58"/>
    </row>
    <row r="65" spans="1:18" ht="15">
      <c r="A65" s="42"/>
      <c r="B65" s="57"/>
      <c r="C65" s="58"/>
      <c r="D65" s="57"/>
      <c r="E65" s="58"/>
      <c r="F65" s="57"/>
      <c r="G65" s="58"/>
      <c r="H65" s="57"/>
      <c r="I65" s="58"/>
      <c r="J65" s="58"/>
      <c r="K65" s="57"/>
      <c r="L65" s="58"/>
      <c r="M65" s="57"/>
      <c r="N65" s="58"/>
      <c r="O65" s="57"/>
      <c r="P65" s="58"/>
      <c r="Q65" s="57"/>
      <c r="R65" s="58"/>
    </row>
    <row r="66" spans="1:18" ht="15">
      <c r="A66" s="42"/>
      <c r="B66" s="57"/>
      <c r="C66" s="58"/>
      <c r="D66" s="57"/>
      <c r="E66" s="58"/>
      <c r="F66" s="57"/>
      <c r="G66" s="58"/>
      <c r="H66" s="57"/>
      <c r="I66" s="58"/>
      <c r="J66" s="58"/>
      <c r="K66" s="57"/>
      <c r="L66" s="58"/>
      <c r="M66" s="57"/>
      <c r="N66" s="58"/>
      <c r="O66" s="57"/>
      <c r="P66" s="58"/>
      <c r="Q66" s="57"/>
      <c r="R66" s="58"/>
    </row>
    <row r="67" spans="1:18" ht="15">
      <c r="A67" s="42"/>
      <c r="B67" s="57"/>
      <c r="C67" s="58"/>
      <c r="D67" s="57"/>
      <c r="E67" s="58"/>
      <c r="F67" s="57"/>
      <c r="G67" s="58"/>
      <c r="H67" s="57"/>
      <c r="I67" s="58"/>
      <c r="J67" s="58"/>
      <c r="K67" s="57"/>
      <c r="L67" s="58"/>
      <c r="M67" s="57"/>
      <c r="N67" s="58"/>
      <c r="O67" s="57"/>
      <c r="P67" s="58"/>
      <c r="Q67" s="57"/>
      <c r="R67" s="58"/>
    </row>
    <row r="68" spans="1:18" ht="15">
      <c r="A68" s="42"/>
      <c r="B68" s="57"/>
      <c r="C68" s="58"/>
      <c r="D68" s="57"/>
      <c r="E68" s="58"/>
      <c r="F68" s="57"/>
      <c r="G68" s="58"/>
      <c r="H68" s="57"/>
      <c r="I68" s="58"/>
      <c r="J68" s="58"/>
      <c r="K68" s="57"/>
      <c r="L68" s="58"/>
      <c r="M68" s="57"/>
      <c r="N68" s="58"/>
      <c r="O68" s="57"/>
      <c r="P68" s="58"/>
      <c r="Q68" s="57"/>
      <c r="R68" s="58"/>
    </row>
    <row r="69" spans="1:18" ht="15">
      <c r="A69" s="42"/>
      <c r="B69" s="57"/>
      <c r="C69" s="58"/>
      <c r="D69" s="57"/>
      <c r="E69" s="58"/>
      <c r="F69" s="57"/>
      <c r="G69" s="58"/>
      <c r="H69" s="57"/>
      <c r="I69" s="58"/>
      <c r="J69" s="58"/>
      <c r="K69" s="57"/>
      <c r="L69" s="58"/>
      <c r="M69" s="57"/>
      <c r="N69" s="58"/>
      <c r="O69" s="57"/>
      <c r="P69" s="58"/>
      <c r="Q69" s="57"/>
      <c r="R69" s="58"/>
    </row>
    <row r="70" spans="1:18" ht="15">
      <c r="A70" s="42"/>
      <c r="B70" s="57"/>
      <c r="C70" s="58"/>
      <c r="D70" s="57"/>
      <c r="E70" s="58"/>
      <c r="F70" s="57"/>
      <c r="G70" s="58"/>
      <c r="H70" s="57"/>
      <c r="I70" s="58"/>
      <c r="J70" s="58"/>
      <c r="K70" s="57"/>
      <c r="L70" s="58"/>
      <c r="M70" s="57"/>
      <c r="N70" s="58"/>
      <c r="O70" s="57"/>
      <c r="P70" s="58"/>
      <c r="Q70" s="57"/>
      <c r="R70" s="58"/>
    </row>
    <row r="71" spans="1:18" ht="15">
      <c r="A71" s="42"/>
      <c r="B71" s="57"/>
      <c r="C71" s="58"/>
      <c r="D71" s="57"/>
      <c r="E71" s="58"/>
      <c r="F71" s="57"/>
      <c r="G71" s="58"/>
      <c r="H71" s="57"/>
      <c r="I71" s="58"/>
      <c r="J71" s="58"/>
      <c r="K71" s="57"/>
      <c r="L71" s="58"/>
      <c r="M71" s="57"/>
      <c r="N71" s="58"/>
      <c r="O71" s="57"/>
      <c r="P71" s="58"/>
      <c r="Q71" s="57"/>
      <c r="R71" s="58"/>
    </row>
    <row r="72" spans="1:18" ht="15">
      <c r="A72" s="42"/>
      <c r="B72" s="57"/>
      <c r="C72" s="58"/>
      <c r="D72" s="57"/>
      <c r="E72" s="58"/>
      <c r="F72" s="57"/>
      <c r="G72" s="58"/>
      <c r="H72" s="57"/>
      <c r="I72" s="58"/>
      <c r="J72" s="58"/>
      <c r="K72" s="57"/>
      <c r="L72" s="58"/>
      <c r="M72" s="57"/>
      <c r="N72" s="58"/>
      <c r="O72" s="57"/>
      <c r="P72" s="58"/>
      <c r="Q72" s="57"/>
      <c r="R72" s="58"/>
    </row>
    <row r="73" spans="1:18" ht="15">
      <c r="A73" s="42"/>
      <c r="B73" s="57"/>
      <c r="C73" s="58"/>
      <c r="D73" s="57"/>
      <c r="E73" s="58"/>
      <c r="F73" s="57"/>
      <c r="G73" s="58"/>
      <c r="H73" s="57"/>
      <c r="I73" s="58"/>
      <c r="J73" s="58"/>
      <c r="K73" s="57"/>
      <c r="L73" s="58"/>
      <c r="M73" s="57"/>
      <c r="N73" s="58"/>
      <c r="O73" s="57"/>
      <c r="P73" s="58"/>
      <c r="Q73" s="57"/>
      <c r="R73" s="58"/>
    </row>
    <row r="74" ht="15">
      <c r="A74" s="42"/>
    </row>
    <row r="75" spans="1:18" ht="15">
      <c r="A75" s="42"/>
      <c r="B75" s="57"/>
      <c r="C75" s="58"/>
      <c r="D75" s="57"/>
      <c r="E75" s="58"/>
      <c r="F75" s="57"/>
      <c r="G75" s="58"/>
      <c r="H75" s="57"/>
      <c r="I75" s="58"/>
      <c r="J75" s="58"/>
      <c r="K75" s="57"/>
      <c r="L75" s="58"/>
      <c r="M75" s="57"/>
      <c r="N75" s="58"/>
      <c r="O75" s="57"/>
      <c r="P75" s="58"/>
      <c r="Q75" s="57"/>
      <c r="R75" s="58"/>
    </row>
  </sheetData>
  <sheetProtection/>
  <mergeCells count="1">
    <mergeCell ref="B6:AG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siehe PC Pass 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Lübke, Roland (GVSt)</dc:creator>
  <cp:keywords/>
  <dc:description/>
  <cp:lastModifiedBy>Lübke, Roland (GVSt)</cp:lastModifiedBy>
  <cp:lastPrinted>2020-08-24T14:09:36Z</cp:lastPrinted>
  <dcterms:created xsi:type="dcterms:W3CDTF">1999-10-20T08:10:51Z</dcterms:created>
  <dcterms:modified xsi:type="dcterms:W3CDTF">2022-03-03T08:25:08Z</dcterms:modified>
  <cp:category/>
  <cp:version/>
  <cp:contentType/>
  <cp:contentStatus/>
</cp:coreProperties>
</file>